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kKE4htOGr7yjWhbKc9uadFAmy5S1AxGojJpxhUbYpJ/4V4KK+k+SDQq5jsyFiKYIX1C9iZYqoh58RZs3X1b5AA==" workbookSaltValue="L4eL0lWTcy2MFIf6jxkn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6" i="8"/>
  <c r="BD9" i="8"/>
  <c r="H28" i="2"/>
  <c r="BH11" i="16"/>
  <c r="P18" i="17"/>
  <c r="BI16" i="11"/>
  <c r="AP18" i="20"/>
  <c r="BF12" i="11"/>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J21" i="11"/>
  <c r="BG9" i="11"/>
  <c r="R18" i="20"/>
  <c r="R23" i="20" s="1"/>
  <c r="BK18" i="11"/>
  <c r="BU25" i="17"/>
  <c r="BV13" i="16"/>
  <c r="BV21" i="16"/>
  <c r="BV11" i="16"/>
  <c r="S21" i="17"/>
  <c r="BU13" i="17"/>
  <c r="BV20" i="16"/>
  <c r="AZ11" i="11"/>
  <c r="BK20" i="11"/>
  <c r="Q16" i="17"/>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9"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F33" i="11"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AC32" i="16"/>
  <c r="AE32" i="16"/>
  <c r="S32" i="11"/>
  <c r="BC32" i="16"/>
  <c r="AF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G32" i="12"/>
  <c r="AJ32" i="21"/>
  <c r="AA32" i="21"/>
  <c r="AH32" i="16"/>
  <c r="E32" i="17"/>
  <c r="BE32" i="21"/>
  <c r="AU32" i="21"/>
  <c r="AG32" i="17"/>
  <c r="AC32" i="17"/>
  <c r="BK32" i="16"/>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<sst xmlns="http://schemas.openxmlformats.org/spreadsheetml/2006/main" count="2654" uniqueCount="1183">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</sst>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1</v>
      </c>
      <c r="E5" s="418"/>
      <c r="F5" s="3"/>
      <c r="H5" t="s">
        <v>542</v>
      </c>
      <c r="Q5" s="391">
        <v>3</v>
      </c>
      <c r="R5" s="391">
        <v>2</v>
      </c>
      <c r="S5" t="b">
        <f>AND(Q5&gt;=TrimIni,Q5&lt;=TrimFin)</f>
        <v>0</v>
      </c>
    </row>
    <row r="6" spans="1:19" ht="15">
      <c r="A6" s="419"/>
      <c r="B6" s="418"/>
      <c r="C6" s="416" t="s">
        <v>274</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5LEZi54rSidBaHjoTA/ireFfa7//BSaq7B91gV9yZjD7c3+ZQ/YaffF0+QDMTZYVUP2uiBpMgeeWS1fDZqCUg==" saltValue="L4ATt/FJg9wJ2hM48e5L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EXTREMADURA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1 al 1</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18.335088559119196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59</v>
      </c>
      <c r="D10" s="239">
        <f>IF(ISNUMBER(Datos!I10),Datos!I10," - ")</f>
        <v>59</v>
      </c>
      <c r="E10" s="240">
        <f>IF(ISNUMBER(Datos!J10),Datos!J10," - ")</f>
        <v>24</v>
      </c>
      <c r="F10" s="240">
        <f>IF(ISNUMBER(Datos!K10),Datos!K10," - ")</f>
        <v>33</v>
      </c>
      <c r="G10" s="1390" t="str">
        <f>IF(Datos!E10&lt;&gt;"",Datos!E10,Datos!D10)</f>
        <v>37</v>
      </c>
      <c r="H10" s="241">
        <f>IF(ISNUMBER(Datos!L10),Datos!L10," - ")</f>
        <v>50</v>
      </c>
      <c r="I10" s="1400" t="str">
        <f>IF(ISNUMBER(Datos!AS10/Datos!BM10),Datos!AS10/Datos!BM10," - ")</f>
        <v xml:space="preserve"> - </v>
      </c>
      <c r="J10" s="1401">
        <f>IF(ISNUMBER(Datos!BY10/Datos!CN10),Datos!BY10/Datos!CN10," - ")</f>
        <v>0</v>
      </c>
      <c r="K10" s="244">
        <f t="shared" ref="K10:K13" si="1">IF(ISNUMBER((E10-F10)/C10),(E10-F10)/C10," - ")</f>
        <v>-0.15254237288135594</v>
      </c>
      <c r="L10" s="1402">
        <f>IF(ISNUMBER(NºAsuntos!I10/NºAsuntos!G10),(NºAsuntos!I10/NºAsuntos!G10)*11," - ")</f>
        <v>16.666666666666668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15.637532133676093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36.666666666666671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59</v>
      </c>
      <c r="D14" s="1407">
        <f>SUBTOTAL(9,D9:D13)</f>
        <v>59</v>
      </c>
      <c r="E14" s="1408">
        <f>SUBTOTAL(9,E9:E13)</f>
        <v>24</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1330</v>
      </c>
      <c r="D16" s="239">
        <f>IF(ISNUMBER(IF(D_I="SI",Datos!I16,Datos!I16+Datos!AC16)),IF(D_I="SI",Datos!I16,Datos!I16+Datos!AC16)," - ")</f>
        <v>1289</v>
      </c>
      <c r="E16" s="240">
        <f>IF(ISNUMBER(IF(D_I="SI",Datos!J16,Datos!J16+Datos!AD16)),IF(D_I="SI",Datos!J16,Datos!J16+Datos!AD16)," - ")</f>
        <v>2716</v>
      </c>
      <c r="F16" s="240">
        <f>IF(ISNUMBER(IF(D_I="SI",Datos!K16,Datos!K16+Datos!AE16)),IF(D_I="SI",Datos!K16,Datos!K16+Datos!AE16)," - ")</f>
        <v>2822</v>
      </c>
      <c r="G16" s="1390" t="str">
        <f>IF(Datos!E16&lt;&gt;"",Datos!E16,Datos!D16)</f>
        <v>03</v>
      </c>
      <c r="H16" s="241">
        <f>IF(ISNUMBER(IF(D_I="SI",Datos!L16,Datos!L16+Datos!AF16)),IF(D_I="SI",Datos!L16,Datos!L16+Datos!AF16)," - ")</f>
        <v>1224</v>
      </c>
      <c r="I16" s="1400" t="str">
        <f>IF(ISNUMBER(Datos!AS16/Datos!BM16),Datos!AS16/Datos!BM16," - ")</f>
        <v xml:space="preserve"> - </v>
      </c>
      <c r="J16" s="1401">
        <f>IF(ISNUMBER(Datos!BY16/Datos!CN16),Datos!BY16/Datos!CN16," - ")</f>
        <v>0</v>
      </c>
      <c r="K16" s="244">
        <f t="shared" ref="K16:K22" si="3">IF(ISNUMBER((E16-F16)/C16),(E16-F16)/C16," - ")</f>
        <v>-7.9699248120300756E-2</v>
      </c>
      <c r="L16" s="1402">
        <f>IF(ISNUMBER(NºAsuntos!I16/NºAsuntos!G16),(NºAsuntos!I16/NºAsuntos!G16)*11," - ")</f>
        <v>4.7710843373493974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213</v>
      </c>
      <c r="F18" s="240">
        <f>IF(ISNUMBER(IF(D_I="SI",Datos!K18,Datos!K18+Datos!AE18)),IF(D_I="SI",Datos!K18,Datos!K18+Datos!AE18)," - ")</f>
        <v>202</v>
      </c>
      <c r="G18" s="1390" t="str">
        <f>IF(Datos!E18&lt;&gt;"",Datos!E18,Datos!D18)</f>
        <v>37</v>
      </c>
      <c r="H18" s="241">
        <f>IF(ISNUMBER(IF(D_I="SI",Datos!L18,Datos!L18+Datos!AF18)),IF(D_I="SI",Datos!L18,Datos!L18+Datos!AF18)," - ")</f>
        <v>66</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3.5940594059405941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1385</v>
      </c>
      <c r="D23" s="1407">
        <f>SUBTOTAL(9,D16:D22)</f>
        <v>1344</v>
      </c>
      <c r="E23" s="1408">
        <f>SUBTOTAL(9,E16:E22)</f>
        <v>2929</v>
      </c>
      <c r="F23" s="1408">
        <f>SUBTOTAL(9,F16:F22)</f>
        <v>3024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1444</v>
      </c>
      <c r="D31" s="1435">
        <f>SUBTOTAL(9,D9:D30)</f>
        <v>1403</v>
      </c>
      <c r="E31" s="1436">
        <f>SUBTOTAL(9,E9:E30)</f>
        <v>2953</v>
      </c>
      <c r="F31" s="1436">
        <f>SUBTOTAL(9,F9:F30)</f>
        <v>3057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SnkIHFRpnhDJ5pbzgVtzYT991qo26Kf1q66MVXn8QYjM7gu6VHKDi7HzGRt5RilgFBIKqeRT3Xmzcz+eCvgbTQ==" saltValue="2CpqIxcYd5j/tRZg2egs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FQMZzI0eGXO1i4X17FUX8jBWFZFjjDPzaWAfAf2b+wQAxE/hQuVx/DBX/r4i9lZzBd0qwh9CQgCWsxeVN2Y1Ow==" saltValue="U7Zp8b0RZlqtHF0dtOna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3495</v>
      </c>
      <c r="J9" s="194">
        <v>1972</v>
      </c>
      <c r="K9" s="194">
        <v>1945</v>
      </c>
      <c r="L9" s="194">
        <v>3335</v>
      </c>
      <c r="M9" s="194">
        <v>475</v>
      </c>
      <c r="N9" s="194">
        <v>802</v>
      </c>
      <c r="O9" s="194">
        <v>1119</v>
      </c>
      <c r="P9" s="194">
        <v>578</v>
      </c>
      <c r="Q9" s="194">
        <v>561</v>
      </c>
      <c r="R9" s="194">
        <v>7230</v>
      </c>
      <c r="S9" s="194">
        <v>3893</v>
      </c>
      <c r="T9" s="194">
        <v>2236</v>
      </c>
      <c r="U9" s="194">
        <v>2174</v>
      </c>
      <c r="V9" s="194">
        <v>3955</v>
      </c>
      <c r="W9" s="194">
        <v>484</v>
      </c>
      <c r="X9" s="201">
        <v>1037</v>
      </c>
      <c r="Y9" s="204">
        <v>141</v>
      </c>
      <c r="Z9" s="194">
        <v>158</v>
      </c>
      <c r="AA9" s="194">
        <v>144</v>
      </c>
      <c r="AB9" s="194">
        <v>147</v>
      </c>
      <c r="AC9" s="194">
        <v>0</v>
      </c>
      <c r="AD9" s="194">
        <v>0</v>
      </c>
      <c r="AE9" s="194">
        <v>0</v>
      </c>
      <c r="AF9" s="201">
        <v>0</v>
      </c>
      <c r="AG9" s="204">
        <v>109</v>
      </c>
      <c r="AH9" s="194">
        <v>217</v>
      </c>
      <c r="AI9" s="194">
        <v>163</v>
      </c>
      <c r="AJ9" s="205">
        <v>163</v>
      </c>
      <c r="AK9" s="193">
        <v>0</v>
      </c>
      <c r="AL9" s="194">
        <v>0</v>
      </c>
      <c r="AM9" s="194">
        <v>0</v>
      </c>
      <c r="AN9" s="201">
        <v>0</v>
      </c>
      <c r="AO9" s="282">
        <v>6</v>
      </c>
      <c r="AP9" s="167">
        <v>6</v>
      </c>
      <c r="AQ9" s="167">
        <v>6</v>
      </c>
      <c r="AR9" s="206">
        <v>6</v>
      </c>
      <c r="AS9" s="379" t="s">
        <v>1067</v>
      </c>
      <c r="AT9" s="208"/>
      <c r="AU9" s="207"/>
      <c r="AV9" s="208"/>
      <c r="AW9" s="207"/>
      <c r="AX9" s="208"/>
      <c r="AY9" s="133">
        <f>IF(ISNUMBER(IF(J_V="SI",S9,S9+AG9)),IF(J_V="SI",S9,S9+AG9)," - ")</f>
        <v>4002</v>
      </c>
      <c r="AZ9" s="133">
        <f>IF(ISNUMBER(IF(J_V="SI",T9,T9+AH9)),IF(J_V="SI",T9,T9+AH9)," - ")</f>
        <v>2453</v>
      </c>
      <c r="BA9" s="134">
        <f>IF(ISNUMBER(IF(J_V="SI",U9,U9+AI9)),IF(J_V="SI",U9,U9+AI9)," - ")</f>
        <v>2337</v>
      </c>
      <c r="BB9" s="134">
        <f>IF(ISNUMBER(IF(J_V="SI",V9,V9+AJ9)),IF(J_V="SI",V9,V9+AJ9)," - ")</f>
        <v>4118</v>
      </c>
      <c r="BC9" s="135">
        <f>IF(ISNUMBER(X9),X9," - ")</f>
        <v>1037</v>
      </c>
      <c r="BD9" s="136">
        <f>IF(ISNUMBER(BA9/AZ9),BA9/AZ9," - ")</f>
        <v>0.95271096616388096</v>
      </c>
      <c r="BE9" s="137">
        <f>IF(ISNUMBER(BB9/BA9),BB9/BA9, " - ")</f>
        <v>1.7620881471972614</v>
      </c>
      <c r="BF9" s="137">
        <f>IF(ISNUMBER(BC9/BA9),BC9/BA9, " - ")</f>
        <v>0.44373127941805734</v>
      </c>
      <c r="BG9" s="209">
        <f>IF(ISNUMBER((AY9+AZ9)/BA9),(AY9+AZ9)/BA9," - ")</f>
        <v>2.7620881471972614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59</v>
      </c>
      <c r="J10" s="194">
        <v>24</v>
      </c>
      <c r="K10" s="194">
        <v>33</v>
      </c>
      <c r="L10" s="194">
        <v>50</v>
      </c>
      <c r="M10" s="194">
        <v>11</v>
      </c>
      <c r="N10" s="194">
        <v>7</v>
      </c>
      <c r="O10" s="194">
        <v>13</v>
      </c>
      <c r="P10" s="194">
        <v>4</v>
      </c>
      <c r="Q10" s="194">
        <v>15</v>
      </c>
      <c r="R10" s="194">
        <v>69</v>
      </c>
      <c r="S10" s="194">
        <v>57</v>
      </c>
      <c r="T10" s="194">
        <v>23</v>
      </c>
      <c r="U10" s="194">
        <v>38</v>
      </c>
      <c r="V10" s="194">
        <v>42</v>
      </c>
      <c r="W10" s="194">
        <v>12</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57</v>
      </c>
      <c r="AZ10" s="139">
        <f t="shared" si="0"/>
        <v>23</v>
      </c>
      <c r="BA10" s="139">
        <f t="shared" si="0"/>
        <v>38</v>
      </c>
      <c r="BB10" s="139">
        <f t="shared" si="0"/>
        <v>42</v>
      </c>
      <c r="BC10" s="135">
        <f t="shared" si="0"/>
        <v>12</v>
      </c>
      <c r="BD10" s="136">
        <f>IF(ISNUMBER(BA10/AZ10),BA10/AZ10," - ")</f>
        <v>1.6521739130434783</v>
      </c>
      <c r="BE10" s="137">
        <f>IF(ISNUMBER(BB10/BA10),BB10/BA10, " - ")</f>
        <v>1.1052631578947369</v>
      </c>
      <c r="BF10" s="137">
        <f>IF(ISNUMBER(BC10/BA10),BC10/BA10, " - ")</f>
        <v>0.31578947368421051</v>
      </c>
      <c r="BG10" s="209">
        <f>IF(ISNUMBER((AY10+AZ10)/BA10),(AY10+AZ10)/BA10," - ")</f>
        <v>2.1052631578947367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560</v>
      </c>
      <c r="J11" s="196">
        <v>299</v>
      </c>
      <c r="K11" s="196">
        <v>361</v>
      </c>
      <c r="L11" s="196">
        <v>513</v>
      </c>
      <c r="M11" s="196">
        <v>182</v>
      </c>
      <c r="N11" s="196">
        <v>132</v>
      </c>
      <c r="O11" s="194">
        <v>73</v>
      </c>
      <c r="P11" s="196">
        <v>49</v>
      </c>
      <c r="Q11" s="196">
        <v>45</v>
      </c>
      <c r="R11" s="196">
        <v>407</v>
      </c>
      <c r="S11" s="196">
        <v>698</v>
      </c>
      <c r="T11" s="196">
        <v>311</v>
      </c>
      <c r="U11" s="196">
        <v>382</v>
      </c>
      <c r="V11" s="196">
        <v>632</v>
      </c>
      <c r="W11" s="196">
        <v>183</v>
      </c>
      <c r="X11" s="202">
        <v>140</v>
      </c>
      <c r="Y11" s="204">
        <v>38</v>
      </c>
      <c r="Z11" s="194">
        <v>40</v>
      </c>
      <c r="AA11" s="194">
        <v>28</v>
      </c>
      <c r="AB11" s="194">
        <v>40</v>
      </c>
      <c r="AC11" s="196">
        <v>0</v>
      </c>
      <c r="AD11" s="196">
        <v>0</v>
      </c>
      <c r="AE11" s="196">
        <v>0</v>
      </c>
      <c r="AF11" s="202">
        <v>0</v>
      </c>
      <c r="AG11" s="215">
        <v>26</v>
      </c>
      <c r="AH11" s="196">
        <v>45</v>
      </c>
      <c r="AI11" s="196">
        <v>40</v>
      </c>
      <c r="AJ11" s="216">
        <v>31</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724</v>
      </c>
      <c r="AZ11" s="137">
        <f t="shared" si="1"/>
        <v>356</v>
      </c>
      <c r="BA11" s="137">
        <f t="shared" si="1"/>
        <v>422</v>
      </c>
      <c r="BB11" s="137">
        <f t="shared" si="1"/>
        <v>663</v>
      </c>
      <c r="BC11" s="135">
        <f>IF(ISNUMBER(X11),X11," - ")</f>
        <v>140</v>
      </c>
      <c r="BD11" s="136">
        <f t="shared" ref="BD11:BD13" si="2">IF(ISNUMBER(BA11/AZ11),BA11/AZ11," - ")</f>
        <v>1.1853932584269662</v>
      </c>
      <c r="BE11" s="137">
        <f t="shared" ref="BE11:BE13" si="3">IF(ISNUMBER(BB11/BA11),BB11/BA11, " - ")</f>
        <v>1.5710900473933649</v>
      </c>
      <c r="BF11" s="137">
        <f t="shared" ref="BF11:BF13" si="4">IF(ISNUMBER(BC11/BA11),BC11/BA11, " - ")</f>
        <v>0.33175355450236965</v>
      </c>
      <c r="BG11" s="209">
        <f t="shared" ref="BG11:BG13" si="5">IF(ISNUMBER((AY11+AZ11)/BA11),(AY11+AZ11)/BA11," - ")</f>
        <v>2.5592417061611372</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10</v>
      </c>
      <c r="J12" s="196">
        <v>3</v>
      </c>
      <c r="K12" s="196">
        <v>3</v>
      </c>
      <c r="L12" s="196">
        <v>10</v>
      </c>
      <c r="M12" s="196">
        <v>0</v>
      </c>
      <c r="N12" s="196">
        <v>2</v>
      </c>
      <c r="O12" s="194">
        <v>1</v>
      </c>
      <c r="P12" s="196">
        <v>2</v>
      </c>
      <c r="Q12" s="196">
        <v>17</v>
      </c>
      <c r="R12" s="196">
        <v>99</v>
      </c>
      <c r="S12" s="196">
        <v>9</v>
      </c>
      <c r="T12" s="196">
        <v>5</v>
      </c>
      <c r="U12" s="196">
        <v>4</v>
      </c>
      <c r="V12" s="196">
        <v>10</v>
      </c>
      <c r="W12" s="196">
        <v>0</v>
      </c>
      <c r="X12" s="202">
        <v>1</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9</v>
      </c>
      <c r="AZ12" s="137">
        <f t="shared" si="1"/>
        <v>5</v>
      </c>
      <c r="BA12" s="137">
        <f t="shared" si="1"/>
        <v>4</v>
      </c>
      <c r="BB12" s="137">
        <f t="shared" si="1"/>
        <v>10</v>
      </c>
      <c r="BC12" s="135">
        <f>IF(ISNUMBER(X12),X12," - ")</f>
        <v>1</v>
      </c>
      <c r="BD12" s="136">
        <f t="shared" si="2"/>
        <v>0.8</v>
      </c>
      <c r="BE12" s="137">
        <f t="shared" si="3"/>
        <v>2.5</v>
      </c>
      <c r="BF12" s="137">
        <f t="shared" si="4"/>
        <v>0.25</v>
      </c>
      <c r="BG12" s="209">
        <f t="shared" si="5"/>
        <v>3.5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4124</v>
      </c>
      <c r="J14" s="197">
        <f t="shared" si="7"/>
        <v>2298</v>
      </c>
      <c r="K14" s="197">
        <f t="shared" si="7"/>
        <v>2342</v>
      </c>
      <c r="L14" s="197">
        <f t="shared" si="7"/>
        <v>3908</v>
      </c>
      <c r="M14" s="197">
        <f t="shared" si="7"/>
        <v>668</v>
      </c>
      <c r="N14" s="197">
        <f t="shared" si="7"/>
        <v>943</v>
      </c>
      <c r="O14" s="197">
        <f t="shared" si="7"/>
        <v>1206</v>
      </c>
      <c r="P14" s="197">
        <f t="shared" si="7"/>
        <v>633</v>
      </c>
      <c r="Q14" s="197">
        <f t="shared" si="7"/>
        <v>638</v>
      </c>
      <c r="R14" s="197">
        <f t="shared" si="7"/>
        <v>7805</v>
      </c>
      <c r="S14" s="197">
        <f t="shared" si="7"/>
        <v>4657</v>
      </c>
      <c r="T14" s="197">
        <f t="shared" si="7"/>
        <v>2575</v>
      </c>
      <c r="U14" s="197">
        <f t="shared" si="7"/>
        <v>2598</v>
      </c>
      <c r="V14" s="197">
        <f t="shared" si="7"/>
        <v>4639</v>
      </c>
      <c r="W14" s="197">
        <f t="shared" si="7"/>
        <v>679</v>
      </c>
      <c r="X14" s="197">
        <f t="shared" si="7"/>
        <v>1191</v>
      </c>
      <c r="Y14" s="197">
        <f t="shared" si="7"/>
        <v>179</v>
      </c>
      <c r="Z14" s="197">
        <f t="shared" si="7"/>
        <v>198</v>
      </c>
      <c r="AA14" s="197">
        <f t="shared" si="7"/>
        <v>172</v>
      </c>
      <c r="AB14" s="197">
        <f t="shared" si="7"/>
        <v>187</v>
      </c>
      <c r="AC14" s="197">
        <f t="shared" si="7"/>
        <v>0</v>
      </c>
      <c r="AD14" s="197">
        <f t="shared" si="7"/>
        <v>0</v>
      </c>
      <c r="AE14" s="197">
        <f t="shared" si="7"/>
        <v>0</v>
      </c>
      <c r="AF14" s="197">
        <f>SUBTOTAL(9,AF9:AF13)</f>
        <v>0</v>
      </c>
      <c r="AG14" s="197">
        <f t="shared" ref="AG14:AT14" si="8">SUBTOTAL(9,AG8:AG13)</f>
        <v>135</v>
      </c>
      <c r="AH14" s="197">
        <f t="shared" si="8"/>
        <v>262</v>
      </c>
      <c r="AI14" s="197">
        <f t="shared" si="8"/>
        <v>203</v>
      </c>
      <c r="AJ14" s="197">
        <f t="shared" si="8"/>
        <v>194</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4792</v>
      </c>
      <c r="AZ14" s="197">
        <f>SUBTOTAL(9,AZ8:AZ13)</f>
        <v>2837</v>
      </c>
      <c r="BA14" s="197">
        <f>SUBTOTAL(9,BA8:BA13)</f>
        <v>2801</v>
      </c>
      <c r="BB14" s="197">
        <f>SUBTOTAL(9,BB8:BB13)</f>
        <v>4833</v>
      </c>
      <c r="BC14" s="197">
        <f>SUBTOTAL(9,BC8:BC13)</f>
        <v>1190</v>
      </c>
      <c r="BD14" s="219">
        <f>IF(ISNUMBER(BA14/AZ14),BA14/AZ14," - ")</f>
        <v>0.98731053930207968</v>
      </c>
      <c r="BE14" s="220">
        <f>IF(ISNUMBER(BB14/BA14),BB14/BA14, " - ")</f>
        <v>1.7254551945733667</v>
      </c>
      <c r="BF14" s="220">
        <f>IF(ISNUMBER(BC14/BA14),BC14/BA14, " - ")</f>
        <v>0.42484826847554447</v>
      </c>
      <c r="BG14" s="221">
        <f>IF(ISNUMBER((AY14+AZ14)/BA14),(AY14+AZ14)/BA14," - ")</f>
        <v>2.723670117815066</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1289</v>
      </c>
      <c r="J16" s="196">
        <v>2716</v>
      </c>
      <c r="K16" s="196">
        <v>2822</v>
      </c>
      <c r="L16" s="196">
        <v>1224</v>
      </c>
      <c r="M16" s="196">
        <v>373</v>
      </c>
      <c r="N16" s="196">
        <v>1787</v>
      </c>
      <c r="O16" s="194">
        <v>48</v>
      </c>
      <c r="P16" s="196">
        <v>160</v>
      </c>
      <c r="Q16" s="196">
        <v>140</v>
      </c>
      <c r="R16" s="196">
        <v>230</v>
      </c>
      <c r="S16" s="196">
        <v>1573</v>
      </c>
      <c r="T16" s="196">
        <v>2280</v>
      </c>
      <c r="U16" s="196">
        <v>2450</v>
      </c>
      <c r="V16" s="196">
        <v>1477</v>
      </c>
      <c r="W16" s="196">
        <v>349</v>
      </c>
      <c r="X16" s="202">
        <v>1481</v>
      </c>
      <c r="Y16" s="215">
        <v>0</v>
      </c>
      <c r="Z16" s="196">
        <v>0</v>
      </c>
      <c r="AA16" s="196">
        <v>0</v>
      </c>
      <c r="AB16" s="196">
        <v>0</v>
      </c>
      <c r="AC16" s="196">
        <v>2</v>
      </c>
      <c r="AD16" s="196">
        <v>260</v>
      </c>
      <c r="AE16" s="196">
        <v>259</v>
      </c>
      <c r="AF16" s="202">
        <v>3</v>
      </c>
      <c r="AG16" s="215">
        <v>0</v>
      </c>
      <c r="AH16" s="196">
        <v>0</v>
      </c>
      <c r="AI16" s="196">
        <v>0</v>
      </c>
      <c r="AJ16" s="216">
        <v>0</v>
      </c>
      <c r="AK16" s="195">
        <v>9</v>
      </c>
      <c r="AL16" s="196">
        <v>257</v>
      </c>
      <c r="AM16" s="196">
        <v>263</v>
      </c>
      <c r="AN16" s="202">
        <v>3</v>
      </c>
      <c r="AO16" s="283">
        <v>4</v>
      </c>
      <c r="AP16" s="168">
        <v>4</v>
      </c>
      <c r="AQ16" s="168">
        <v>4</v>
      </c>
      <c r="AR16" s="168">
        <v>4</v>
      </c>
      <c r="AS16" s="381" t="s">
        <v>697</v>
      </c>
      <c r="AT16" s="216" t="s">
        <v>420</v>
      </c>
      <c r="AU16" s="215"/>
      <c r="AV16" s="216"/>
      <c r="AW16" s="215"/>
      <c r="AX16" s="216"/>
      <c r="AY16" s="138">
        <f t="shared" ref="AY16:BB17" si="10">IF(ISNUMBER(IF(D_I="SI",S16,S16+AK16)),IF(D_I="SI",S16,S16+AK16)," - ")</f>
        <v>1573</v>
      </c>
      <c r="AZ16" s="139">
        <f t="shared" si="10"/>
        <v>2280</v>
      </c>
      <c r="BA16" s="139">
        <f t="shared" si="10"/>
        <v>2450</v>
      </c>
      <c r="BB16" s="139">
        <f t="shared" si="10"/>
        <v>1477</v>
      </c>
      <c r="BC16" s="135">
        <f>IF(ISNUMBER(W16),W16," - ")</f>
        <v>349</v>
      </c>
      <c r="BD16" s="136">
        <f>IF(ISNUMBER(BA16/AZ16),BA16/AZ16," - ")</f>
        <v>1.0745614035087718</v>
      </c>
      <c r="BE16" s="137">
        <f>IF(ISNUMBER(BB16/BA16),BB16/BA16, " - ")</f>
        <v>0.60285714285714287</v>
      </c>
      <c r="BF16" s="137">
        <f>IF(ISNUMBER(BC16/BA16),BC16/BA16, " - ")</f>
        <v>0.14244897959183672</v>
      </c>
      <c r="BG16" s="209">
        <f t="shared" ref="BG16:BG22" si="11">IF(ISNUMBER((AY16+AZ16)/BA16),(AY16+AZ16)/BA16," - ")</f>
        <v>1.5726530612244898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55</v>
      </c>
      <c r="J18" s="196">
        <v>213</v>
      </c>
      <c r="K18" s="196">
        <v>202</v>
      </c>
      <c r="L18" s="196">
        <v>66</v>
      </c>
      <c r="M18" s="196">
        <v>33</v>
      </c>
      <c r="N18" s="196">
        <v>89</v>
      </c>
      <c r="O18" s="196">
        <v>0</v>
      </c>
      <c r="P18" s="196">
        <v>6</v>
      </c>
      <c r="Q18" s="196">
        <v>4</v>
      </c>
      <c r="R18" s="196">
        <v>20</v>
      </c>
      <c r="S18" s="196">
        <v>34</v>
      </c>
      <c r="T18" s="196">
        <v>202</v>
      </c>
      <c r="U18" s="196">
        <v>196</v>
      </c>
      <c r="V18" s="196">
        <v>44</v>
      </c>
      <c r="W18" s="196">
        <v>50</v>
      </c>
      <c r="X18" s="202">
        <v>81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34</v>
      </c>
      <c r="AZ18" s="139">
        <f t="shared" si="15"/>
        <v>202</v>
      </c>
      <c r="BA18" s="139">
        <f t="shared" si="15"/>
        <v>196</v>
      </c>
      <c r="BB18" s="139">
        <f t="shared" si="15"/>
        <v>44</v>
      </c>
      <c r="BC18" s="135">
        <f>IF(ISNUMBER(W18),W18," - ")</f>
        <v>50</v>
      </c>
      <c r="BD18" s="136">
        <f>IF(ISNUMBER(BA18/AZ18),BA18/AZ18," - ")</f>
        <v>0.97029702970297027</v>
      </c>
      <c r="BE18" s="137">
        <f>IF(ISNUMBER(BB18/BA18),BB18/BA18, " - ")</f>
        <v>0.22448979591836735</v>
      </c>
      <c r="BF18" s="137">
        <f>IF(ISNUMBER(BC18/BA18),BC18/BA18, " - ")</f>
        <v>0.25510204081632654</v>
      </c>
      <c r="BG18" s="209">
        <f>IF(ISNUMBER((AY18+AZ18)/BA18),(AY18+AZ18)/BA18," - ")</f>
        <v>1.2040816326530612</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1344</v>
      </c>
      <c r="J23" s="197">
        <f t="shared" si="21"/>
        <v>2929</v>
      </c>
      <c r="K23" s="197">
        <f t="shared" si="21"/>
        <v>3024</v>
      </c>
      <c r="L23" s="197">
        <f t="shared" si="21"/>
        <v>1290</v>
      </c>
      <c r="M23" s="197">
        <f t="shared" si="21"/>
        <v>406</v>
      </c>
      <c r="N23" s="197">
        <f t="shared" si="21"/>
        <v>1876</v>
      </c>
      <c r="O23" s="197">
        <f t="shared" si="21"/>
        <v>48</v>
      </c>
      <c r="P23" s="197">
        <f t="shared" si="21"/>
        <v>166</v>
      </c>
      <c r="Q23" s="197">
        <f t="shared" si="21"/>
        <v>144</v>
      </c>
      <c r="R23" s="197">
        <f t="shared" si="21"/>
        <v>250</v>
      </c>
      <c r="S23" s="197">
        <f t="shared" si="21"/>
        <v>1607</v>
      </c>
      <c r="T23" s="197">
        <f t="shared" si="21"/>
        <v>2482</v>
      </c>
      <c r="U23" s="197">
        <f t="shared" si="21"/>
        <v>2646</v>
      </c>
      <c r="V23" s="197">
        <f t="shared" si="21"/>
        <v>1521</v>
      </c>
      <c r="W23" s="197">
        <f t="shared" si="21"/>
        <v>399</v>
      </c>
      <c r="X23" s="197">
        <f t="shared" si="21"/>
        <v>1562</v>
      </c>
      <c r="Y23" s="197">
        <f t="shared" si="21"/>
        <v>0</v>
      </c>
      <c r="Z23" s="197">
        <f t="shared" si="21"/>
        <v>0</v>
      </c>
      <c r="AA23" s="197">
        <f t="shared" si="21"/>
        <v>0</v>
      </c>
      <c r="AB23" s="197">
        <f t="shared" si="21"/>
        <v>0</v>
      </c>
      <c r="AC23" s="197">
        <f t="shared" si="21"/>
        <v>2</v>
      </c>
      <c r="AD23" s="197">
        <f t="shared" si="21"/>
        <v>260</v>
      </c>
      <c r="AE23" s="197">
        <f t="shared" si="21"/>
        <v>259</v>
      </c>
      <c r="AF23" s="197">
        <f t="shared" si="21"/>
        <v>3</v>
      </c>
      <c r="AG23" s="197">
        <f t="shared" si="21"/>
        <v>0</v>
      </c>
      <c r="AH23" s="197">
        <f t="shared" si="21"/>
        <v>0</v>
      </c>
      <c r="AI23" s="197">
        <f t="shared" si="21"/>
        <v>0</v>
      </c>
      <c r="AJ23" s="197">
        <f t="shared" si="21"/>
        <v>0</v>
      </c>
      <c r="AK23" s="197">
        <f t="shared" si="21"/>
        <v>9</v>
      </c>
      <c r="AL23" s="197">
        <f t="shared" si="21"/>
        <v>257</v>
      </c>
      <c r="AM23" s="197">
        <f t="shared" si="21"/>
        <v>263</v>
      </c>
      <c r="AN23" s="197">
        <f t="shared" si="21"/>
        <v>3</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1607</v>
      </c>
      <c r="AZ23" s="197">
        <f>SUBTOTAL(9,AZ15:AZ22)</f>
        <v>2482</v>
      </c>
      <c r="BA23" s="197">
        <f>SUBTOTAL(9,BA15:BA22)</f>
        <v>2646</v>
      </c>
      <c r="BB23" s="197">
        <f>SUBTOTAL(9,BB15:BB22)</f>
        <v>1521</v>
      </c>
      <c r="BC23" s="197">
        <f>SUBTOTAL(9,BC15:BC22)</f>
        <v>399</v>
      </c>
      <c r="BD23" s="219">
        <f>IF(ISNUMBER(BA23/AZ23),BA23/AZ23," - ")</f>
        <v>1.0660757453666398</v>
      </c>
      <c r="BE23" s="220">
        <f>IF(ISNUMBER(BB23/BA23),BB23/BA23, " - ")</f>
        <v>0.57482993197278909</v>
      </c>
      <c r="BF23" s="220">
        <f>IF(ISNUMBER(BC23/BA23),BC23/BA23, " - ")</f>
        <v>0.15079365079365079</v>
      </c>
      <c r="BG23" s="221">
        <f>IF(ISNUMBER((AY23+AZ23)/BA23),(AY23+AZ23)/BA23," - ")</f>
        <v>1.5453514739229024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5468</v>
      </c>
      <c r="J31" s="144">
        <f t="shared" si="36"/>
        <v>5227</v>
      </c>
      <c r="K31" s="144">
        <f t="shared" si="36"/>
        <v>5366</v>
      </c>
      <c r="L31" s="144">
        <f t="shared" si="36"/>
        <v>5198</v>
      </c>
      <c r="M31" s="144">
        <f t="shared" si="36"/>
        <v>1074</v>
      </c>
      <c r="N31" s="144">
        <f t="shared" si="36"/>
        <v>2819</v>
      </c>
      <c r="O31" s="144">
        <f t="shared" si="36"/>
        <v>1254</v>
      </c>
      <c r="P31" s="144">
        <f t="shared" si="36"/>
        <v>799</v>
      </c>
      <c r="Q31" s="144">
        <f t="shared" si="36"/>
        <v>782</v>
      </c>
      <c r="R31" s="144">
        <f t="shared" si="36"/>
        <v>8055</v>
      </c>
      <c r="S31" s="144">
        <f t="shared" si="36"/>
        <v>6264</v>
      </c>
      <c r="T31" s="144">
        <f t="shared" si="36"/>
        <v>5057</v>
      </c>
      <c r="U31" s="144">
        <f t="shared" si="36"/>
        <v>5244</v>
      </c>
      <c r="V31" s="144">
        <f t="shared" si="36"/>
        <v>6160</v>
      </c>
      <c r="W31" s="144">
        <f t="shared" si="36"/>
        <v>1078</v>
      </c>
      <c r="X31" s="144">
        <f t="shared" si="36"/>
        <v>2753</v>
      </c>
      <c r="Y31" s="144">
        <f t="shared" si="36"/>
        <v>179</v>
      </c>
      <c r="Z31" s="144">
        <f t="shared" si="36"/>
        <v>198</v>
      </c>
      <c r="AA31" s="144">
        <f t="shared" si="36"/>
        <v>172</v>
      </c>
      <c r="AB31" s="144">
        <f t="shared" si="36"/>
        <v>187</v>
      </c>
      <c r="AC31" s="144">
        <f t="shared" si="36"/>
        <v>2</v>
      </c>
      <c r="AD31" s="144">
        <f t="shared" si="36"/>
        <v>260</v>
      </c>
      <c r="AE31" s="144">
        <f t="shared" si="36"/>
        <v>259</v>
      </c>
      <c r="AF31" s="144">
        <f t="shared" si="36"/>
        <v>3</v>
      </c>
      <c r="AG31" s="144">
        <f t="shared" si="36"/>
        <v>135</v>
      </c>
      <c r="AH31" s="144">
        <f t="shared" si="36"/>
        <v>262</v>
      </c>
      <c r="AI31" s="144">
        <f t="shared" si="36"/>
        <v>203</v>
      </c>
      <c r="AJ31" s="144">
        <f t="shared" si="36"/>
        <v>194</v>
      </c>
      <c r="AK31" s="144">
        <f t="shared" si="36"/>
        <v>9</v>
      </c>
      <c r="AL31" s="144">
        <f t="shared" si="36"/>
        <v>257</v>
      </c>
      <c r="AM31" s="144">
        <f t="shared" si="36"/>
        <v>263</v>
      </c>
      <c r="AN31" s="224">
        <f t="shared" si="36"/>
        <v>3</v>
      </c>
      <c r="AO31" s="225">
        <v>12</v>
      </c>
      <c r="AP31" s="225">
        <v>12</v>
      </c>
      <c r="AQ31" s="225">
        <v>12</v>
      </c>
      <c r="AR31" s="225">
        <v>12</v>
      </c>
      <c r="AS31" s="166">
        <f t="shared" si="36"/>
        <v>0</v>
      </c>
      <c r="AT31" s="166">
        <f t="shared" si="36"/>
        <v>0</v>
      </c>
      <c r="AU31" s="225"/>
      <c r="AV31" s="226"/>
      <c r="AW31" s="225"/>
      <c r="AX31" s="226"/>
      <c r="AY31" s="143">
        <f>SUBTOTAL(9,AY9:AY30)</f>
        <v>6399</v>
      </c>
      <c r="AZ31" s="144">
        <f>SUBTOTAL(9,AZ9:AZ30)</f>
        <v>5319</v>
      </c>
      <c r="BA31" s="144">
        <f>SUBTOTAL(9,BA9:BA30)</f>
        <v>5447</v>
      </c>
      <c r="BB31" s="144">
        <f>SUBTOTAL(9,BB9:BB30)</f>
        <v>6354</v>
      </c>
      <c r="BC31" s="145">
        <f>SUBTOTAL(9,BC9:BC30)</f>
        <v>1589</v>
      </c>
      <c r="BD31" s="227">
        <f>IF(ISNUMBER(BA31/AZ31),BA31/AZ31," - ")</f>
        <v>1.0240646738108667</v>
      </c>
      <c r="BE31" s="224">
        <f>IF(ISNUMBER(BB31/BA31),BB31/BA31, " - ")</f>
        <v>1.1665136772535341</v>
      </c>
      <c r="BF31" s="224">
        <f>IF(ISNUMBER(BC31/BA31),BC31/BA31, " - ")</f>
        <v>0.2917202129612631</v>
      </c>
      <c r="BG31" s="145">
        <f>IF(ISNUMBER((AY31+AZ31)/BA31),(AY31+AZ31)/BA31," - ")</f>
        <v>2.1512759317055261</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cmc/6tQQfxfo5+AxFvgE2Li4/6Z7PMWgF/HyE/vvtgoKw2G/ORX1hWB6kdhA+3TL9gpJ4/A5f83kGoO493Ulg==" saltValue="D/rG4ZWQYUJGAdGc/mtC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2Y+j4vJWtQzFV5pIg9zfV/Z/b1seBVGCNRxWnIclHGtUxbj8QiBIbBdJ7S6xaVyx3fsybyggJ26K0nXDDtHBg==" saltValue="o+jFTHdv/2P0CyjCtt5X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BADAJOZ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317</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158</v>
      </c>
      <c r="O9" s="549"/>
      <c r="P9" s="549"/>
      <c r="Q9" s="547">
        <f>IF(ISNUMBER(Datos!P9),Datos!P9,0)</f>
        <v>578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561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147</v>
      </c>
      <c r="AI9" s="549" t="str">
        <f>IF(ISNUMBER(Datos!CD9),Datos!CD9,"-")</f>
        <v>-</v>
      </c>
      <c r="AJ9" s="549" t="str">
        <f>IF(ISNUMBER(Datos!EN9),Datos!EN9," - ")</f>
        <v xml:space="preserve"> - </v>
      </c>
      <c r="AK9" s="549"/>
      <c r="AL9" s="550"/>
      <c r="AM9" s="766">
        <f>IF(ISNUMBER(Datos!R9),Datos!R9," - ")</f>
        <v>7230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475</v>
      </c>
      <c r="BD9" s="693">
        <f>IF(ISNUMBER(Datos!N9),Datos!N9," - ")</f>
        <v>802</v>
      </c>
      <c r="BE9" s="693" t="str">
        <f>IF(ISNUMBER(Datos!BW9),Datos!BW9," - ")</f>
        <v xml:space="preserve"> - </v>
      </c>
      <c r="BF9" s="762" t="str">
        <f>IF(ISNUMBER(Datos!BX9),Datos!BX9," - ")</f>
        <v xml:space="preserve"> - </v>
      </c>
      <c r="BG9" s="763">
        <f>IF(ISNUMBER(IF(J_V="SI",Datos!K9/Datos!J9,(Datos!K9+Datos!AA9)/(Datos!J9+Datos!Z9))),IF(J_V="SI",Datos!K9/Datos!J9,(Datos!K9+Datos!AA9)/(Datos!J9+Datos!Z9))," - ")</f>
        <v>0.98075117370892018</v>
      </c>
      <c r="BH9" s="764">
        <f>IF(ISNUMBER(((IF(J_V="SI",Datos!L9/Datos!K9,(Datos!L9+Datos!AB9)/(Datos!K9+Datos!AA9)))*11)/factor_trimestre),((IF(J_V="SI",Datos!L9/Datos!K9,(Datos!L9+Datos!AB9)/(Datos!K9+Datos!AA9)))*11)/factor_trimestre," - ")</f>
        <v>5.0004786979415989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2.3568556772494108E-3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59</v>
      </c>
      <c r="G10" s="543">
        <f>IF(ISNUMBER(Datos!I10),Datos!I10," - ")</f>
        <v>59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15</v>
      </c>
      <c r="AD10" s="549"/>
      <c r="AE10" s="563"/>
      <c r="AF10" s="551">
        <f>IF(ISNUMBER(Datos!L10),Datos!L10,"-")</f>
        <v>50</v>
      </c>
      <c r="AG10" s="549"/>
      <c r="AH10" s="549"/>
      <c r="AI10" s="549"/>
      <c r="AJ10" s="549"/>
      <c r="AK10" s="549"/>
      <c r="AL10" s="550"/>
      <c r="AM10" s="766">
        <f>IF(ISNUMBER(Datos!R10),Datos!R10," - ")</f>
        <v>69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7</v>
      </c>
      <c r="BE10" s="693" t="str">
        <f>IF(ISNUMBER(Datos!BW10),Datos!BW10," - ")</f>
        <v xml:space="preserve"> - </v>
      </c>
      <c r="BF10" s="762" t="str">
        <f>IF(ISNUMBER(Datos!BX10),Datos!BX10," - ")</f>
        <v xml:space="preserve"> - </v>
      </c>
      <c r="BG10" s="763">
        <f>IF(ISNUMBER(Datos!K10/Datos!J10),Datos!K10/Datos!J10," - ")</f>
        <v>1.375</v>
      </c>
      <c r="BH10" s="764">
        <f>IF(ISNUMBER(((Datos!L10/Datos!K10)*11)/factor_trimestre),((Datos!L10/Datos!K10)*11)/factor_trimestre," - ")</f>
        <v>4.5454545454545459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-0.13750000000000001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40</v>
      </c>
      <c r="O11" s="549"/>
      <c r="P11" s="549"/>
      <c r="Q11" s="547">
        <f>IF(ISNUMBER(Datos!P11),Datos!P11,0)</f>
        <v>49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45</v>
      </c>
      <c r="AD11" s="549"/>
      <c r="AE11" s="563"/>
      <c r="AF11" s="551" t="str">
        <f>IF(ISNUMBER(IF(J_V="SI",Datos!L11,Datos!L11+Datos!AB11)-IF(Monitorios="SI",Datos!CD11,0)),
                          IF(J_V="SI",Datos!L11,Datos!L11+Datos!AB11)-IF(Monitorios="SI",Datos!CD11,0),
                          " - ")</f>
        <v xml:space="preserve"> - </v>
      </c>
      <c r="AG11" s="549"/>
      <c r="AH11" s="549">
        <f>IF(ISNUMBER(Datos!AB11),Datos!AB11,"-")</f>
        <v>40</v>
      </c>
      <c r="AI11" s="549"/>
      <c r="AJ11" s="549"/>
      <c r="AK11" s="549"/>
      <c r="AL11" s="550"/>
      <c r="AM11" s="766">
        <f>IF(ISNUMBER(Datos!R11),Datos!R11," - ")</f>
        <v>407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182</v>
      </c>
      <c r="BD11" s="693">
        <f>IF(ISNUMBER(Datos!N11),Datos!N11," - ")</f>
        <v>132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1.1474926253687316</v>
      </c>
      <c r="BH11" s="764">
        <f>IF(ISNUMBER(((IF(J_V="SI",Datos!L11/Datos!K11,(Datos!L11+Datos!AB11)/(Datos!K11+Datos!AA11)))*11)/factor_trimestre),((IF(J_V="SI",Datos!L11/Datos!K11,(Datos!L11+Datos!AB11)/(Datos!K11+Datos!AA11)))*11)/factor_trimestre," - ")</f>
        <v>4.2647814910025712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9.9255583126550868E-3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10.000000000000002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-0.13157894736842105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59</v>
      </c>
      <c r="G14" s="1197">
        <f t="shared" si="1"/>
        <v>59</v>
      </c>
      <c r="H14" s="1198">
        <f t="shared" si="1"/>
        <v>0</v>
      </c>
      <c r="I14" s="1197">
        <f t="shared" si="1"/>
        <v>0</v>
      </c>
      <c r="J14" s="1164">
        <f t="shared" si="1"/>
        <v>0</v>
      </c>
      <c r="K14" s="1164">
        <f t="shared" si="1"/>
        <v>0</v>
      </c>
      <c r="L14" s="1198">
        <f t="shared" si="1"/>
        <v>0</v>
      </c>
      <c r="M14" s="1198">
        <f t="shared" si="1"/>
        <v>0</v>
      </c>
      <c r="N14" s="1198">
        <f t="shared" si="1"/>
        <v>198</v>
      </c>
      <c r="O14" s="1199">
        <f t="shared" si="1"/>
        <v>0</v>
      </c>
      <c r="P14" s="1199">
        <f t="shared" si="1"/>
        <v>0</v>
      </c>
      <c r="Q14" s="1198">
        <f t="shared" si="1"/>
        <v>633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638</v>
      </c>
      <c r="AD14" s="1198">
        <f t="shared" si="2"/>
        <v>0</v>
      </c>
      <c r="AE14" s="1198">
        <f t="shared" si="2"/>
        <v>0</v>
      </c>
      <c r="AF14" s="1198">
        <f t="shared" si="2"/>
        <v>50</v>
      </c>
      <c r="AG14" s="1198">
        <f t="shared" si="2"/>
        <v>0</v>
      </c>
      <c r="AH14" s="1198">
        <f t="shared" si="2"/>
        <v>187</v>
      </c>
      <c r="AI14" s="1198">
        <f t="shared" si="2"/>
        <v>0</v>
      </c>
      <c r="AJ14" s="1198">
        <f t="shared" si="2"/>
        <v>0</v>
      </c>
      <c r="AK14" s="1198">
        <f t="shared" si="2"/>
        <v>0</v>
      </c>
      <c r="AL14" s="1198">
        <f t="shared" si="2"/>
        <v>0</v>
      </c>
      <c r="AM14" s="1198">
        <f t="shared" si="2"/>
        <v>7805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668</v>
      </c>
      <c r="BD14" s="1198">
        <f t="shared" si="2"/>
        <v>943</v>
      </c>
      <c r="BE14" s="1198">
        <f t="shared" si="2"/>
        <v>0</v>
      </c>
      <c r="BF14" s="1198">
        <f t="shared" si="2"/>
        <v>0</v>
      </c>
      <c r="BG14" s="1198">
        <f>IF(ISNUMBER(Datos!K14/Datos!J14),Datos!K14/Datos!J14," - ")</f>
        <v>1.0191470844212358</v>
      </c>
      <c r="BH14" s="1202">
        <f>IF(ISNUMBER(((Datos!L14/Datos!K14)*11)/factor_trimestre),((Datos!L14/Datos!K14)*11)/factor_trimestre," - ")</f>
        <v>5.0059777967549106</v>
      </c>
      <c r="BI14" s="1198">
        <f>IF(ISNUMBER('Resol  Asuntos'!D14/NºAsuntos!G14),'Resol  Asuntos'!D14/NºAsuntos!G14," - ")</f>
        <v>0.26571201272871919</v>
      </c>
      <c r="BJ14" s="1198" t="str">
        <f>IF(ISNUMBER(Datos!CI14/Datos!CJ14),Datos!CI14/Datos!CJ14," - ")</f>
        <v xml:space="preserve"> - </v>
      </c>
      <c r="BK14" s="1198">
        <f>SUBTOTAL(9,BK8:BK13)</f>
        <v>0</v>
      </c>
      <c r="BL14" s="1198">
        <f>IF(ISNUMBER((I14-AB14+L14)/(F14)),(I14-AB14+L14)/(F14)," - ")</f>
        <v>-0.55932203389830504</v>
      </c>
      <c r="BM14" s="1203">
        <f>SUBTOTAL(9,BM9:BM13)</f>
        <v>-0.25679653337851654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1330</v>
      </c>
      <c r="G16" s="743">
        <f>IF(ISNUMBER(IF(D_I="SI",Datos!I16,Datos!I16+Datos!AC16)),IF(D_I="SI",Datos!I16,Datos!I16+Datos!AC16)," - ")</f>
        <v>1289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2822</v>
      </c>
      <c r="AC16" s="240">
        <f>IF(ISNUMBER(Datos!Q16),Datos!Q16," - ")</f>
        <v>140</v>
      </c>
      <c r="AD16" s="374"/>
      <c r="AE16" s="562"/>
      <c r="AF16" s="741">
        <f>IF(ISNUMBER(IF(D_I="SI",Datos!L16,Datos!L16+Datos!AF16)),IF(D_I="SI",Datos!L16,Datos!L16+Datos!AF16)," - ")</f>
        <v>1224</v>
      </c>
      <c r="AG16" s="374"/>
      <c r="AH16" s="374"/>
      <c r="AI16" s="374"/>
      <c r="AJ16" s="549"/>
      <c r="AK16" s="374"/>
      <c r="AL16" s="545"/>
      <c r="AM16" s="375">
        <f>IF(ISNUMBER(Datos!R16),Datos!R16," - ")</f>
        <v>230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373</v>
      </c>
      <c r="BD16" s="243">
        <f>IF(ISNUMBER(Datos!N16),Datos!N16," - ")</f>
        <v>1787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1.0390279823269515</v>
      </c>
      <c r="BH16" s="764">
        <f>IF(ISNUMBER(((IF(D_I="SI",Datos!L16/Datos!K16,(Datos!L16+Datos!AF16)/(Datos!K16+Datos!AE16)))*11)/factor_trimestre),((IF(D_I="SI",Datos!L16/Datos!K16,(Datos!L16+Datos!AF16)/(Datos!K16+Datos!AE16)))*11)/factor_trimestre," - ")</f>
        <v>1.3012048192771084</v>
      </c>
      <c r="BI16" s="266">
        <f>IF(ISNUMBER('Resol  Asuntos'!D16/NºAsuntos!G16),'Resol  Asuntos'!D16/NºAsuntos!G16," - ")</f>
        <v>0.13217576187101346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202</v>
      </c>
      <c r="AC18" s="547">
        <f>IF(ISNUMBER(Datos!Q18),Datos!Q18," - ")</f>
        <v>4</v>
      </c>
      <c r="AD18" s="549"/>
      <c r="AE18" s="562"/>
      <c r="AF18" s="551">
        <f>IF(ISNUMBER(Datos!L18),Datos!L18,"-")</f>
        <v>66</v>
      </c>
      <c r="AG18" s="549"/>
      <c r="AH18" s="549"/>
      <c r="AI18" s="549"/>
      <c r="AJ18" s="549"/>
      <c r="AK18" s="549"/>
      <c r="AL18" s="550"/>
      <c r="AM18" s="766">
        <f>IF(ISNUMBER(Datos!R18),Datos!R18," - ")</f>
        <v>20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89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0.94835680751173712</v>
      </c>
      <c r="BH18" s="764">
        <f>IF(ISNUMBER(((IF(D_I="SI",Datos!L18/Datos!K18,(Datos!L18+Datos!AF18)/(Datos!K18+Datos!AE18)))*11)/factor_trimestre),((IF(D_I="SI",Datos!L18/Datos!K18,(Datos!L18+Datos!AF18)/(Datos!K18+Datos!AE18)))*11)/factor_trimestre," - ")</f>
        <v>0.98019801980198029</v>
      </c>
      <c r="BI18" s="763">
        <f>IF(ISNUMBER('Resol  Asuntos'!D18/NºAsuntos!G18),'Resol  Asuntos'!D18/NºAsuntos!G18," - ")</f>
        <v>0.16336633663366337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1330</v>
      </c>
      <c r="G23" s="1197">
        <f>SUBTOTAL(9,G16:G22)</f>
        <v>1344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3024</v>
      </c>
      <c r="AC23" s="1198">
        <f t="shared" si="5"/>
        <v>144</v>
      </c>
      <c r="AD23" s="1198">
        <f t="shared" si="5"/>
        <v>0</v>
      </c>
      <c r="AE23" s="1198">
        <f t="shared" si="5"/>
        <v>0</v>
      </c>
      <c r="AF23" s="1198">
        <f t="shared" si="5"/>
        <v>1290</v>
      </c>
      <c r="AG23" s="1198">
        <f t="shared" si="5"/>
        <v>0</v>
      </c>
      <c r="AH23" s="1198">
        <f t="shared" si="5"/>
        <v>0</v>
      </c>
      <c r="AI23" s="1198">
        <f t="shared" si="5"/>
        <v>0</v>
      </c>
      <c r="AJ23" s="1198">
        <f t="shared" si="5"/>
        <v>0</v>
      </c>
      <c r="AK23" s="1198">
        <f t="shared" si="5"/>
        <v>0</v>
      </c>
      <c r="AL23" s="1198">
        <f t="shared" si="5"/>
        <v>0</v>
      </c>
      <c r="AM23" s="1198">
        <f t="shared" si="5"/>
        <v>250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406</v>
      </c>
      <c r="BD23" s="1198">
        <f t="shared" si="5"/>
        <v>1876</v>
      </c>
      <c r="BE23" s="1198">
        <f t="shared" si="5"/>
        <v>0</v>
      </c>
      <c r="BF23" s="1198">
        <f t="shared" si="5"/>
        <v>0</v>
      </c>
      <c r="BG23" s="1198">
        <f>IF(ISNUMBER(Datos!K23/Datos!J23),Datos!K23/Datos!J23," - ")</f>
        <v>1.0324342779105498</v>
      </c>
      <c r="BH23" s="1202">
        <f>IF(ISNUMBER(((Datos!L23/Datos!K23)*11)/factor_trimestre),((Datos!L23/Datos!K23)*11)/factor_trimestre," - ")</f>
        <v>1.2797619047619047</v>
      </c>
      <c r="BI23" s="1198">
        <f>SUBTOTAL(9,BI16:BI22)</f>
        <v>0.29554209850467683</v>
      </c>
      <c r="BJ23" s="1198">
        <f>SUBTOTAL(9,BJ16:BJ22)</f>
        <v>0</v>
      </c>
      <c r="BK23" s="1198">
        <f>SUBTOTAL(9,BK16:BK22)</f>
        <v>0</v>
      </c>
      <c r="BL23" s="1198">
        <f>IF(ISNUMBER((I23-AB23+L23)/(F23)),(I23-AB23+L23)/(F23)," - ")</f>
        <v>-2.2736842105263158</v>
      </c>
      <c r="BM23" s="1205">
        <f>IF(ISNUMBER((Datos!P23-Datos!Q23)/(Datos!R23-Datos!P23+Datos!Q23)),(Datos!P23-Datos!Q23)/(Datos!R23-Datos!P23+Datos!Q23)," - ")</f>
        <v>9.6491228070175433E-2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1389</v>
      </c>
      <c r="G31" s="1117">
        <f t="shared" si="18"/>
        <v>1403</v>
      </c>
      <c r="H31" s="1119">
        <f t="shared" si="18"/>
        <v>0</v>
      </c>
      <c r="I31" s="1117">
        <f t="shared" si="18"/>
        <v>0</v>
      </c>
      <c r="J31" s="1119">
        <f t="shared" si="18"/>
        <v>0</v>
      </c>
      <c r="K31" s="1119">
        <f t="shared" si="18"/>
        <v>0</v>
      </c>
      <c r="L31" s="1180">
        <f t="shared" si="18"/>
        <v>0</v>
      </c>
      <c r="M31" s="1180">
        <f t="shared" si="18"/>
        <v>0</v>
      </c>
      <c r="N31" s="1180">
        <f t="shared" si="18"/>
        <v>198</v>
      </c>
      <c r="O31" s="1180">
        <f t="shared" si="18"/>
        <v>0</v>
      </c>
      <c r="P31" s="1180">
        <f t="shared" si="18"/>
        <v>0</v>
      </c>
      <c r="Q31" s="1119">
        <f t="shared" si="18"/>
        <v>799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3057</v>
      </c>
      <c r="AC31" s="1118">
        <f t="shared" si="19"/>
        <v>782</v>
      </c>
      <c r="AD31" s="1118">
        <f t="shared" si="19"/>
        <v>0</v>
      </c>
      <c r="AE31" s="1118">
        <f t="shared" si="19"/>
        <v>0</v>
      </c>
      <c r="AF31" s="1125">
        <f t="shared" si="19"/>
        <v>1340</v>
      </c>
      <c r="AG31" s="1125">
        <f t="shared" si="19"/>
        <v>0</v>
      </c>
      <c r="AH31" s="1125">
        <f t="shared" si="19"/>
        <v>187</v>
      </c>
      <c r="AI31" s="1125">
        <f t="shared" si="19"/>
        <v>0</v>
      </c>
      <c r="AJ31" s="1118">
        <f t="shared" si="19"/>
        <v>0</v>
      </c>
      <c r="AK31" s="1125">
        <f t="shared" si="19"/>
        <v>0</v>
      </c>
      <c r="AL31" s="1125">
        <f t="shared" si="19"/>
        <v>0</v>
      </c>
      <c r="AM31" s="1125">
        <f t="shared" si="19"/>
        <v>8055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1074</v>
      </c>
      <c r="BD31" s="1117">
        <f t="shared" si="19"/>
        <v>2819</v>
      </c>
      <c r="BE31" s="1117">
        <f t="shared" si="19"/>
        <v>0</v>
      </c>
      <c r="BF31" s="1127">
        <f t="shared" si="19"/>
        <v>0</v>
      </c>
      <c r="BG31" s="1223">
        <f>IF(ISNUMBER(Datos!K31/Datos!J31),Datos!K31/Datos!J31," - ")</f>
        <v>1.0265926917926154</v>
      </c>
      <c r="BH31" s="1223">
        <f>IF(ISNUMBER(((Datos!L31/Datos!K31)*11)/factor_trimestre),((Datos!L31/Datos!K31)*11)/factor_trimestre," - ")</f>
        <v>2.9060752888557588</v>
      </c>
      <c r="BI31" s="1103">
        <f>IF(ISNUMBER(Datos!J31/Datos!I31),Datos!J31/Datos!I31," - ")</f>
        <v>0.95592538405267014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-2.2008639308855291</v>
      </c>
      <c r="BM31" s="1188">
        <f>IF(ISNUMBER((Datos!P31-Datos!Q31+R31)/(Datos!R31-Datos!P31+Datos!Q31-R31)),(Datos!P31-Datos!Q31+R31)/(Datos!R31-Datos!P31+Datos!Q31-R31)," - ")</f>
        <v>2.1149539686489177E-3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2.4542599318054101</v>
      </c>
      <c r="F33" s="673">
        <f>IF(ISNUMBER(STDEV(F8:F30)),STDEV(F8:F30),"-")</f>
        <v>672.09344588382942</v>
      </c>
      <c r="G33" s="674">
        <f>IF(ISNUMBER(STDEV(G8:G30)),STDEV(G8:G30),"-")</f>
        <v>626.23728957731578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1403.0383526645376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246.92724974507504</v>
      </c>
      <c r="BD33" s="673"/>
      <c r="BE33" s="673">
        <f>IF(ISNUMBER(STDEV(BE8:BE30)),STDEV(BE8:BE30),"-")</f>
        <v>0</v>
      </c>
      <c r="BF33" s="678">
        <f>IF(ISNUMBER(STDEV(BF8:BF30)),STDEV(BF8:BF30),"-")</f>
        <v>0</v>
      </c>
      <c r="BG33" s="1052">
        <f>IF(ISNUMBER(STDEV(BG8:BG30)),STDEV(BG8:BG30),"-")</f>
        <v>0.13711800648033567</v>
      </c>
      <c r="BH33" s="1058">
        <f>IF(ISNUMBER(STDEV(BH8:BH30)),STDEV(BH8:BH30),"-")</f>
        <v>2.9800557655037667</v>
      </c>
      <c r="BI33" s="273">
        <f>IF(ISNUMBER(STDEV(BI8:BI30)),STDEV(BI8:BI30),"-")</f>
        <v>7.8702099533196374E-2</v>
      </c>
      <c r="BJ33" s="244" t="str">
        <f>IF(ISNUMBER(BL33/BM33),BL33/BM33," - ")</f>
        <v xml:space="preserve"> - </v>
      </c>
      <c r="BK33" s="709"/>
      <c r="BL33" s="681">
        <f>IF(ISNUMBER(STDEV(BL8:BL30)),STDEV(BL8:BL30),"-")</f>
        <v>1.2122371205033962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Tzyg1WvmFWSO/oQRiuX/2Dxgi7OA/vL8ExYbNSDJu0Ic9z0r6FnOD1zAa4CtCiubWoeNqi1Uuyi0MBz869XwA==" saltValue="7cmCHlCusfOfwaaemxoB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BADAJOZ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1 al 1</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578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561</v>
      </c>
      <c r="AA9" s="551" t="str">
        <f>IF(ISNUMBER(IF(J_V="SI",Datos!L9,Datos!L9+Datos!AB9)-IF(Monitorios="SI",Datos!CD9,0)),
                          IF(J_V="SI",Datos!L9,Datos!L9+Datos!AB9)-IF(Monitorios="SI",Datos!CD9,0),
                          " - ")</f>
        <v xml:space="preserve"> - </v>
      </c>
      <c r="AB9" s="549"/>
      <c r="AC9" s="549"/>
      <c r="AD9" s="563"/>
      <c r="AE9" s="563">
        <f>IF(ISNUMBER(Datos!R9),Datos!R9," - ")</f>
        <v>7230</v>
      </c>
      <c r="AF9" s="693" t="str">
        <f>IF(ISNUMBER(Datos!BV9),Datos!BV9," - ")</f>
        <v xml:space="preserve"> - </v>
      </c>
      <c r="AG9" s="552" t="str">
        <f>IF(ISNUMBER(Datos!DV9),Datos!DV9," - ")</f>
        <v xml:space="preserve"> - </v>
      </c>
      <c r="AH9" s="553"/>
      <c r="AI9" s="554"/>
      <c r="AJ9" s="552">
        <f>IF(ISNUMBER(Datos!M9),Datos!M9," - ")</f>
        <v>475</v>
      </c>
      <c r="AK9" s="693">
        <f>IF(ISNUMBER(Datos!N9),Datos!N9," - ")</f>
        <v>802</v>
      </c>
      <c r="AL9" s="693" t="str">
        <f>IF(ISNUMBER(Datos!BW9),Datos!BW9," - ")</f>
        <v xml:space="preserve"> - </v>
      </c>
      <c r="AM9" s="762" t="str">
        <f>IF(ISNUMBER(Datos!BX9),Datos!BX9," - ")</f>
        <v xml:space="preserve"> - </v>
      </c>
      <c r="AN9" s="763"/>
      <c r="AO9" s="764">
        <f>IF(ISNUMBER(((NºAsuntos!I9/NºAsuntos!G9)*11)/factor_trimestre),((NºAsuntos!I9/NºAsuntos!G9)*11)/factor_trimestre," - ")</f>
        <v>5.0004786979415989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2.3568556772494108E-3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59</v>
      </c>
      <c r="G10" s="552">
        <f>IF(ISNUMBER(Datos!I10),Datos!I10," - ")</f>
        <v>59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15</v>
      </c>
      <c r="AA10" s="551">
        <f>IF(ISNUMBER(Datos!L10),Datos!L10,"-")</f>
        <v>50</v>
      </c>
      <c r="AB10" s="549"/>
      <c r="AC10" s="549"/>
      <c r="AD10" s="563"/>
      <c r="AE10" s="563">
        <f>IF(ISNUMBER(Datos!R10),Datos!R10," - ")</f>
        <v>69</v>
      </c>
      <c r="AF10" s="693" t="str">
        <f>IF(ISNUMBER(Datos!BV10),Datos!BV10," - ")</f>
        <v xml:space="preserve"> - </v>
      </c>
      <c r="AG10" s="552" t="str">
        <f>IF(ISNUMBER(Datos!DV10),Datos!DV10," - ")</f>
        <v xml:space="preserve"> - </v>
      </c>
      <c r="AH10" s="553"/>
      <c r="AI10" s="554"/>
      <c r="AJ10" s="552">
        <f>IF(ISNUMBER(Datos!M10),Datos!M10," - ")</f>
        <v>11</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4.5454545454545459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-0.13750000000000001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45</v>
      </c>
      <c r="AA11" s="551" t="str">
        <f>IF(ISNUMBER(IF(J_V="SI",Datos!L11,Datos!L11+Datos!AB11)-IF(Monitorios="SI",Datos!CD11,0)),
                          IF(J_V="SI",Datos!L11,Datos!L11+Datos!AB11)-IF(Monitorios="SI",Datos!CD11,0),
                          " - ")</f>
        <v xml:space="preserve"> - </v>
      </c>
      <c r="AB11" s="549"/>
      <c r="AC11" s="549"/>
      <c r="AD11" s="563"/>
      <c r="AE11" s="563">
        <f>IF(ISNUMBER(Datos!R11),Datos!R11," - ")</f>
        <v>407</v>
      </c>
      <c r="AF11" s="693" t="str">
        <f>IF(ISNUMBER(Datos!BV11),Datos!BV11," - ")</f>
        <v xml:space="preserve"> - </v>
      </c>
      <c r="AG11" s="552" t="str">
        <f>IF(ISNUMBER(Datos!DV11),Datos!DV11," - ")</f>
        <v xml:space="preserve"> - </v>
      </c>
      <c r="AH11" s="553"/>
      <c r="AI11" s="554"/>
      <c r="AJ11" s="552">
        <f>IF(ISNUMBER(Datos!M11),Datos!M11," - ")</f>
        <v>182</v>
      </c>
      <c r="AK11" s="693">
        <f>IF(ISNUMBER(Datos!N11),Datos!N11," - ")</f>
        <v>132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4.2647814910025712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9.9255583126550868E-3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99</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10.000000000000002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-0.13157894736842105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59</v>
      </c>
      <c r="G14" s="1197">
        <f>SUBTOTAL(9,G8:G13)</f>
        <v>59</v>
      </c>
      <c r="H14" s="1211"/>
      <c r="I14" s="1197">
        <f t="shared" ref="I14:N14" si="1">SUBTOTAL(9,I8:I13)</f>
        <v>0</v>
      </c>
      <c r="J14" s="1164">
        <f t="shared" si="1"/>
        <v>0</v>
      </c>
      <c r="K14" s="1211">
        <f t="shared" si="1"/>
        <v>0</v>
      </c>
      <c r="L14" s="1211">
        <f t="shared" si="1"/>
        <v>0</v>
      </c>
      <c r="M14" s="1211">
        <f t="shared" si="1"/>
        <v>0</v>
      </c>
      <c r="N14" s="1211">
        <f t="shared" si="1"/>
        <v>633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638</v>
      </c>
      <c r="AA14" s="1199">
        <f t="shared" si="3"/>
        <v>50</v>
      </c>
      <c r="AB14" s="1199">
        <f t="shared" si="3"/>
        <v>0</v>
      </c>
      <c r="AC14" s="1199">
        <f t="shared" si="3"/>
        <v>0</v>
      </c>
      <c r="AD14" s="1199">
        <f t="shared" si="3"/>
        <v>0</v>
      </c>
      <c r="AE14" s="1199">
        <f t="shared" si="3"/>
        <v>7805</v>
      </c>
      <c r="AF14" s="1211">
        <f t="shared" si="3"/>
        <v>0</v>
      </c>
      <c r="AG14" s="1211">
        <f t="shared" si="3"/>
        <v>0</v>
      </c>
      <c r="AH14" s="1211">
        <f t="shared" si="3"/>
        <v>0</v>
      </c>
      <c r="AI14" s="1211">
        <f t="shared" si="3"/>
        <v>0</v>
      </c>
      <c r="AJ14" s="1211">
        <f t="shared" si="3"/>
        <v>668</v>
      </c>
      <c r="AK14" s="1211">
        <f t="shared" si="3"/>
        <v>943</v>
      </c>
      <c r="AL14" s="1211">
        <f t="shared" si="3"/>
        <v>0</v>
      </c>
      <c r="AM14" s="1211">
        <f t="shared" si="3"/>
        <v>0</v>
      </c>
      <c r="AN14" s="1211">
        <f t="shared" si="3"/>
        <v>0</v>
      </c>
      <c r="AO14" s="1203">
        <f>IF(ISNUMBER(((NºAsuntos!I14/NºAsuntos!G14)*11)/factor_trimestre),((NºAsuntos!I14/NºAsuntos!G14)*11)/factor_trimestre," - ")</f>
        <v>4.8866348448687358</v>
      </c>
      <c r="AP14" s="1213" t="str">
        <f>IF(ISNUMBER(Datos!CI14/Datos!CJ14),Datos!CI14/Datos!CJ14," - ")</f>
        <v xml:space="preserve"> - </v>
      </c>
      <c r="AQ14" s="1236">
        <f t="shared" ref="AQ14:AV14" si="4">SUBTOTAL(9,AQ9:AQ13)</f>
        <v>0</v>
      </c>
      <c r="AR14" s="1236">
        <f t="shared" si="4"/>
        <v>-0.25679653337851654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1330</v>
      </c>
      <c r="G16" s="552">
        <f>IF(ISNUMBER(IF(D_I="SI",Datos!I16,Datos!I16+Datos!AC16)),IF(D_I="SI",Datos!I16,Datos!I16+Datos!AC16)," - ")</f>
        <v>1289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2822</v>
      </c>
      <c r="Z16" s="805">
        <f>IF(ISNUMBER(Datos!Q16),Datos!Q16," - ")</f>
        <v>140</v>
      </c>
      <c r="AA16" s="551">
        <f>IF(ISNUMBER(IF(D_I="SI",Datos!L16,Datos!L16+Datos!AF16)),IF(D_I="SI",Datos!L16,Datos!L16+Datos!AF16)," - ")</f>
        <v>1224</v>
      </c>
      <c r="AB16" s="549"/>
      <c r="AC16" s="549"/>
      <c r="AD16" s="563"/>
      <c r="AE16" s="563">
        <f>IF(ISNUMBER(Datos!R16),Datos!R16," - ")</f>
        <v>230</v>
      </c>
      <c r="AF16" s="693" t="str">
        <f>IF(ISNUMBER(Datos!BV16),Datos!BV16," - ")</f>
        <v xml:space="preserve"> - </v>
      </c>
      <c r="AG16" s="552"/>
      <c r="AH16" s="553"/>
      <c r="AI16" s="554"/>
      <c r="AJ16" s="552">
        <f>IF(ISNUMBER(Datos!M16),Datos!M16," - ")</f>
        <v>373</v>
      </c>
      <c r="AK16" s="693">
        <f>IF(ISNUMBER(Datos!N16),Datos!N16," - ")</f>
        <v>1787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1.3012048192771084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202</v>
      </c>
      <c r="Z18" s="805">
        <f>IF(ISNUMBER(Datos!Q18),Datos!Q18," - ")</f>
        <v>4</v>
      </c>
      <c r="AA18" s="551">
        <f>IF(ISNUMBER(Datos!L18),Datos!L18,"-")</f>
        <v>66</v>
      </c>
      <c r="AB18" s="549"/>
      <c r="AC18" s="549"/>
      <c r="AD18" s="563"/>
      <c r="AE18" s="563">
        <f>IF(ISNUMBER(Datos!R18),Datos!R18," - ")</f>
        <v>20</v>
      </c>
      <c r="AF18" s="693" t="str">
        <f>IF(ISNUMBER(Datos!BV18),Datos!BV18," - ")</f>
        <v xml:space="preserve"> - </v>
      </c>
      <c r="AG18" s="552" t="str">
        <f>IF(ISNUMBER(Datos!DV18),Datos!DV18," - ")</f>
        <v xml:space="preserve"> - </v>
      </c>
      <c r="AH18" s="553"/>
      <c r="AI18" s="554"/>
      <c r="AJ18" s="552">
        <f>IF(ISNUMBER(Datos!M18),Datos!M18," - ")</f>
        <v>33</v>
      </c>
      <c r="AK18" s="693">
        <f>IF(ISNUMBER(Datos!N18),Datos!N18," - ")</f>
        <v>89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0.98019801980198029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1330</v>
      </c>
      <c r="G23" s="1197">
        <f>SUBTOTAL(9,G16:G22)</f>
        <v>1344</v>
      </c>
      <c r="H23" s="1240">
        <f>SUBTOTAL(9,H16:H22)</f>
        <v>0</v>
      </c>
      <c r="I23" s="1217">
        <f>SUBTOTAL(9,I16:I22)</f>
        <v>0</v>
      </c>
      <c r="J23" s="1164">
        <f>SUBTOTAL(9,J15:J22)</f>
        <v>0</v>
      </c>
      <c r="K23" s="1240">
        <f t="shared" ref="K23:S23" si="5">SUBTOTAL(9,K16:K22)</f>
        <v>0</v>
      </c>
      <c r="L23" s="1240">
        <f t="shared" si="5"/>
        <v>0</v>
      </c>
      <c r="M23" s="1240">
        <f t="shared" si="5"/>
        <v>0</v>
      </c>
      <c r="N23" s="1240">
        <f t="shared" si="5"/>
        <v>166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3024</v>
      </c>
      <c r="Z23" s="1240">
        <f t="shared" si="6"/>
        <v>144</v>
      </c>
      <c r="AA23" s="1240">
        <f t="shared" si="6"/>
        <v>1290</v>
      </c>
      <c r="AB23" s="1240">
        <f t="shared" si="6"/>
        <v>0</v>
      </c>
      <c r="AC23" s="1240">
        <f t="shared" si="6"/>
        <v>0</v>
      </c>
      <c r="AD23" s="1240">
        <f t="shared" si="6"/>
        <v>0</v>
      </c>
      <c r="AE23" s="1240">
        <f t="shared" si="6"/>
        <v>250</v>
      </c>
      <c r="AF23" s="1240">
        <f t="shared" si="6"/>
        <v>0</v>
      </c>
      <c r="AG23" s="1240">
        <f t="shared" si="6"/>
        <v>0</v>
      </c>
      <c r="AH23" s="1240">
        <f t="shared" si="6"/>
        <v>0</v>
      </c>
      <c r="AI23" s="1240">
        <f t="shared" si="6"/>
        <v>0</v>
      </c>
      <c r="AJ23" s="1240">
        <f t="shared" si="6"/>
        <v>406</v>
      </c>
      <c r="AK23" s="1240">
        <f t="shared" si="6"/>
        <v>1876</v>
      </c>
      <c r="AL23" s="1240">
        <f t="shared" si="6"/>
        <v>0</v>
      </c>
      <c r="AM23" s="1240">
        <f t="shared" si="6"/>
        <v>0</v>
      </c>
      <c r="AN23" s="1240">
        <f t="shared" si="6"/>
        <v>0</v>
      </c>
      <c r="AO23" s="1242">
        <f>IF(ISNUMBER(((NºAsuntos!I23/NºAsuntos!G23)*11)/factor_trimestre),((NºAsuntos!I23/NºAsuntos!G23)*11)/factor_trimestre," - ")</f>
        <v>1.2797619047619047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1389</v>
      </c>
      <c r="G31" s="1117">
        <f t="shared" si="12"/>
        <v>1403</v>
      </c>
      <c r="H31" s="1118">
        <f t="shared" si="12"/>
        <v>0</v>
      </c>
      <c r="I31" s="1117">
        <f t="shared" si="12"/>
        <v>0</v>
      </c>
      <c r="J31" s="1119">
        <f t="shared" si="12"/>
        <v>0</v>
      </c>
      <c r="K31" s="1117">
        <f t="shared" si="12"/>
        <v>0</v>
      </c>
      <c r="L31" s="1120">
        <f t="shared" si="12"/>
        <v>0</v>
      </c>
      <c r="M31" s="1117">
        <f t="shared" si="12"/>
        <v>0</v>
      </c>
      <c r="N31" s="1118">
        <f t="shared" si="12"/>
        <v>799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3057</v>
      </c>
      <c r="Z31" s="1124">
        <f t="shared" si="13"/>
        <v>782</v>
      </c>
      <c r="AA31" s="1125">
        <f t="shared" si="13"/>
        <v>1340</v>
      </c>
      <c r="AB31" s="1125">
        <f t="shared" si="13"/>
        <v>0</v>
      </c>
      <c r="AC31" s="1125">
        <f t="shared" si="13"/>
        <v>0</v>
      </c>
      <c r="AD31" s="1126">
        <f t="shared" si="13"/>
        <v>0</v>
      </c>
      <c r="AE31" s="1126">
        <f t="shared" si="13"/>
        <v>8055</v>
      </c>
      <c r="AF31" s="1127">
        <f t="shared" si="13"/>
        <v>0</v>
      </c>
      <c r="AG31" s="1128">
        <f t="shared" si="13"/>
        <v>0</v>
      </c>
      <c r="AH31" s="1129">
        <f t="shared" si="13"/>
        <v>0</v>
      </c>
      <c r="AI31" s="1127">
        <f t="shared" si="13"/>
        <v>0</v>
      </c>
      <c r="AJ31" s="1117">
        <f t="shared" si="13"/>
        <v>1074</v>
      </c>
      <c r="AK31" s="1117">
        <f t="shared" si="13"/>
        <v>2819</v>
      </c>
      <c r="AL31" s="1117">
        <f t="shared" si="13"/>
        <v>0</v>
      </c>
      <c r="AM31" s="1130">
        <f t="shared" si="13"/>
        <v>0</v>
      </c>
      <c r="AN31" s="1120">
        <f>IF(ISNUMBER(Datos!K31/Datos!J31),Datos!K31/Datos!J31," - ")</f>
        <v>1.0265926917926154</v>
      </c>
      <c r="AO31" s="1120">
        <f>IF(ISNUMBER(FIND("06",Criterios!A8,1)),(IF(ISNUMBER(((Datos!R31/Datos!Q31)*11)/factor_trimestre),((Datos!R31/Datos!Q31)*11)/factor_trimestre," - ")),(IF(ISNUMBER(((Datos!L31/Datos!K31)*11)/factor_trimestre),((Datos!L31/Datos!K31)*11)/factor_trimestre," - ")))</f>
        <v>2.9060752888557588</v>
      </c>
      <c r="AP31" s="1131" t="str">
        <f>IF(ISNUMBER(Datos!CI31/Datos!CJ31),Datos!CI31/Datos!CJ31," - ")</f>
        <v xml:space="preserve"> - </v>
      </c>
      <c r="AQ31" s="1131">
        <f>IF(OR(ISNUMBER(FIND("01",Criterios!A8,1)),ISNUMBER(FIND("02",Criterios!A8,1)),ISNUMBER(FIND("03",Criterios!A8,1)),ISNUMBER(FIND("04",Criterios!A8,1))),(J31-Y31+K31)/(F31-K31),(I31-Y31+K31)/(F31-K31))</f>
        <v>-2.2008639308855291</v>
      </c>
      <c r="AR31" s="1131">
        <f>IF(ISNUMBER((Datos!P31-Datos!Q31+O31)/(Datos!R31-Datos!P31+Datos!Q31-O31)),(Datos!P31-Datos!Q31+O31)/(Datos!R31-Datos!P31+Datos!Q31-O31)," - ")</f>
        <v>2.1149539686489177E-3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672.09344588382942</v>
      </c>
      <c r="G33" s="674">
        <f>IF(ISNUMBER(STDEV(G8:G30)),STDEV(G8:G30),"-")</f>
        <v>626.23728957731578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246.92724974507504</v>
      </c>
      <c r="AK33" s="276"/>
      <c r="AL33" s="276">
        <f>IF(ISNUMBER(STDEV(AL8:AL30)),STDEV(AL8:AL30),"-")</f>
        <v>0</v>
      </c>
      <c r="AM33" s="278">
        <f>IF(ISNUMBER(STDEV(AM8:AM30)),STDEV(AM8:AM30),"-")</f>
        <v>0</v>
      </c>
      <c r="AN33" s="660">
        <f>IF(ISNUMBER(STDEV(AN8:AN30)),STDEV(AN8:AN30),"-")</f>
        <v>0</v>
      </c>
      <c r="AO33" s="661">
        <f>IF(ISNUMBER(STDEV(AO8:AO30)),STDEV(AO8:AO30),"-")</f>
        <v>2.9748649402063854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MsvdV79p25z8GEMPJIGf94BIUFjbypuzkuux64WdIJ+MVVkEO0DWNdqf61dUeoGxXJIMzPuzEYHFfG8L2sCZA==" saltValue="QhA+J4zG1/ZdxJjyFd39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2Hmjn4rTl2W6DNGseavVgfF7cKbfjWlXZit8c/otJnD/QO7QsffnymvLIPwAOoNpgDFhZSjNKqYmHqB2cdhjNw==" saltValue="auDaRrYmqMLEIImWpmdC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6iPQkEDK/ZqcewNPl6+4uBWNkfI4GLsBc7m1Q4hS0pjACY4eAQoJX5gVHGuXSCKZnPPaaFM4KXR2VuWpQN/9w==" saltValue="/F8MvcFvrbQK0bIgCFlc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BADAJOZ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0.26571201272871919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0.18788676604320356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2g7XIIXoc6mcu2vbtP6rF5EOi6jYXCm62NsUrEw9OiIDDJ85qAkwqI2NFlVxZO1p+yH3hgI2qGNw8ef5Crw4Ng==" saltValue="B80WCjgbkwWz20D4QnOb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QgaoXezJf+VB7aftKlMkXq5YXrKFF5P7cwoBJWBH7HUDmhIzCEWLom49qjSyxLvmWwQ1z0jseQ31UGKHQRQrNA==" saltValue="l1pwm3MtMJ7oKN7L71z+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BADAJOZ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3636</v>
      </c>
      <c r="D9" s="452">
        <f>IF(ISNUMBER(C9/Datos!BH9),C9/Datos!BH9," - ")</f>
        <v>606</v>
      </c>
      <c r="E9" s="451">
        <f>IF(ISNUMBER(IF(J_V="SI",Datos!J9,Datos!J9+Datos!Z9)),IF(J_V="SI",Datos!J9,Datos!J9+Datos!Z9)," - ")</f>
        <v>2130</v>
      </c>
      <c r="F9" s="452">
        <f>IF(ISNUMBER(E9/B9),E9/B9," - ")</f>
        <v>355</v>
      </c>
      <c r="G9" s="451">
        <f>IF(ISNUMBER(IF(J_V="SI",Datos!K9,Datos!K9+Datos!AA9)),IF(J_V="SI",Datos!K9,Datos!K9+Datos!AA9)," - ")</f>
        <v>2089</v>
      </c>
      <c r="H9" s="452">
        <f>IF(ISNUMBER(G9/B9),G9/B9," - ")</f>
        <v>348.16666666666669</v>
      </c>
      <c r="I9" s="451">
        <f>IF(ISNUMBER(IF(J_V="SI",Datos!L9,Datos!L9+Datos!AB9)),IF(J_V="SI",Datos!L9,Datos!L9+Datos!AB9)," - ")</f>
        <v>3482</v>
      </c>
      <c r="J9" s="452">
        <f>IF(ISNUMBER(I9/B9),I9/B9," - ")</f>
        <v>580.33333333333337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59</v>
      </c>
      <c r="D10" s="452">
        <f>IF(ISNUMBER(C10/Datos!BH10),C10/Datos!BH10," - ")</f>
        <v>59</v>
      </c>
      <c r="E10" s="451">
        <f>IF(ISNUMBER(Datos!J10),Datos!J10," - ")</f>
        <v>24</v>
      </c>
      <c r="F10" s="452">
        <f>IF(ISNUMBER(E10/B10),E10/B10," - ")</f>
        <v>24</v>
      </c>
      <c r="G10" s="451">
        <f>IF(ISNUMBER(Datos!K10),Datos!K10," - ")</f>
        <v>33</v>
      </c>
      <c r="H10" s="452">
        <f>IF(ISNUMBER(G10/B10),G10/B10," - ")</f>
        <v>33</v>
      </c>
      <c r="I10" s="451">
        <f>IF(ISNUMBER(Datos!L10),Datos!L10," - ")</f>
        <v>50</v>
      </c>
      <c r="J10" s="452">
        <f>IF(ISNUMBER(I10/B10),I10/B10," - ")</f>
        <v>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598</v>
      </c>
      <c r="D11" s="452">
        <f>IF(ISNUMBER(C11/Datos!BH11),C11/Datos!BH11," - ")</f>
        <v>598</v>
      </c>
      <c r="E11" s="451">
        <f>IF(ISNUMBER(IF(J_V="SI",Datos!J11,Datos!J11+Datos!Z11)),IF(J_V="SI",Datos!J11,Datos!J11+Datos!Z11)," - ")</f>
        <v>339</v>
      </c>
      <c r="F11" s="452">
        <f>IF(ISNUMBER(E11/B11),E11/B11," - ")</f>
        <v>339</v>
      </c>
      <c r="G11" s="451">
        <f>IF(ISNUMBER(IF(J_V="SI",Datos!K11,Datos!K11+Datos!AA11)),IF(J_V="SI",Datos!K11,Datos!K11+Datos!AA11)," - ")</f>
        <v>389</v>
      </c>
      <c r="H11" s="452">
        <f>IF(ISNUMBER(G11/B11),G11/B11," - ")</f>
        <v>389</v>
      </c>
      <c r="I11" s="451">
        <f>IF(ISNUMBER(IF(J_V="SI",Datos!L11,Datos!L11+Datos!AB11)),IF(J_V="SI",Datos!L11,Datos!L11+Datos!AB11)," - ")</f>
        <v>553</v>
      </c>
      <c r="J11" s="452">
        <f>IF(ISNUMBER(I11/B11),I11/B11," - ")</f>
        <v>553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10</v>
      </c>
      <c r="D12" s="452" t="str">
        <f>IF(ISNUMBER(C12/Datos!BH12),C12/Datos!BH12," - ")</f>
        <v xml:space="preserve"> - </v>
      </c>
      <c r="E12" s="451">
        <f>IF(ISNUMBER(IF(J_V="SI",Datos!J12,Datos!J12+Datos!Z12)),IF(J_V="SI",Datos!J12,Datos!J12+Datos!Z12)," - ")</f>
        <v>3</v>
      </c>
      <c r="F12" s="452" t="str">
        <f>IF(ISNUMBER(E12/B12),E12/B12," - ")</f>
        <v xml:space="preserve"> - </v>
      </c>
      <c r="G12" s="451">
        <f>IF(ISNUMBER(IF(J_V="SI",Datos!K12,Datos!K12+Datos!AA12)),IF(J_V="SI",Datos!K12,Datos!K12+Datos!AA12)," - ")</f>
        <v>3</v>
      </c>
      <c r="H12" s="452" t="str">
        <f>IF(ISNUMBER(G12/B12),G12/B12," - ")</f>
        <v xml:space="preserve"> - </v>
      </c>
      <c r="I12" s="451">
        <f>IF(ISNUMBER(IF(J_V="SI",Datos!L12,Datos!L12+Datos!AB12)),IF(J_V="SI",Datos!L12,Datos!L12+Datos!AB12)," - ")</f>
        <v>10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4303</v>
      </c>
      <c r="D14" s="1147" t="str">
        <f>IF(ISNUMBER(C14/Datos!BI14),C14/Datos!BI14," - ")</f>
        <v xml:space="preserve"> - </v>
      </c>
      <c r="E14" s="1146">
        <f>SUBTOTAL(9,E8:E13)</f>
        <v>2496</v>
      </c>
      <c r="F14" s="1147">
        <f>IF(ISNUMBER(E14/B14),E14/B14," - ")</f>
        <v>312</v>
      </c>
      <c r="G14" s="1146">
        <f>SUBTOTAL(9,G8:G13)</f>
        <v>2514</v>
      </c>
      <c r="H14" s="1147">
        <f>IF(ISNUMBER(G14/B14),G14/B14," - ")</f>
        <v>314.25</v>
      </c>
      <c r="I14" s="1146">
        <f>SUBTOTAL(9,I8:I13)</f>
        <v>4095</v>
      </c>
      <c r="J14" s="1147">
        <f>IF(ISNUMBER(I14/B14),I14/B14," - ")</f>
        <v>511.875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1289</v>
      </c>
      <c r="D16" s="452">
        <f>IF(ISNUMBER(C16/Datos!BH16),C16/Datos!BH16," - ")</f>
        <v>322.25</v>
      </c>
      <c r="E16" s="451">
        <f>IF(ISNUMBER(IF(D_I="SI",Datos!J16,Datos!J16+Datos!AD16)),IF(D_I="SI",Datos!J16,Datos!J16+Datos!AD16)," - ")</f>
        <v>2716</v>
      </c>
      <c r="F16" s="452">
        <f>IF(ISNUMBER(E16/B16),E16/B16," - ")</f>
        <v>679</v>
      </c>
      <c r="G16" s="451">
        <f>IF(ISNUMBER(IF(D_I="SI",Datos!K16,Datos!K16+Datos!AE16)),IF(D_I="SI",Datos!K16,Datos!K16+Datos!AE16)," - ")</f>
        <v>2822</v>
      </c>
      <c r="H16" s="452">
        <f>IF(ISNUMBER(G16/B16),G16/B16," - ")</f>
        <v>705.5</v>
      </c>
      <c r="I16" s="451">
        <f>IF(ISNUMBER(IF(D_I="SI",Datos!L16,Datos!L16+Datos!AF16)),IF(D_I="SI",Datos!L16,Datos!L16+Datos!AF16)," - ")</f>
        <v>1224</v>
      </c>
      <c r="J16" s="452">
        <f>IF(ISNUMBER(I16/B16),I16/B16," - ")</f>
        <v>306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213</v>
      </c>
      <c r="F18" s="452">
        <f>IF(ISNUMBER(E18/B18),E18/B18," - ")</f>
        <v>213</v>
      </c>
      <c r="G18" s="451">
        <f>IF(ISNUMBER(IF(D_I="SI",Datos!K18,Datos!K18+Datos!AE18)),IF(D_I="SI",Datos!K18,Datos!K18+Datos!AE18)," - ")</f>
        <v>202</v>
      </c>
      <c r="H18" s="452">
        <f>IF(ISNUMBER(G18/B18),G18/B18," - ")</f>
        <v>202</v>
      </c>
      <c r="I18" s="451">
        <f>IF(ISNUMBER(IF(D_I="SI",Datos!L18,Datos!L18+Datos!AF18)),IF(D_I="SI",Datos!L18,Datos!L18+Datos!AF18)," - ")</f>
        <v>66</v>
      </c>
      <c r="J18" s="452">
        <f>IF(ISNUMBER(I18/B18),I18/B18," - ")</f>
        <v>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1344</v>
      </c>
      <c r="D23" s="1147" t="str">
        <f>IF(ISNUMBER(C23/Datos!BI23),C23/Datos!BI23," - ")</f>
        <v xml:space="preserve"> - </v>
      </c>
      <c r="E23" s="1146">
        <f>SUBTOTAL(9,E15:E22)</f>
        <v>2929</v>
      </c>
      <c r="F23" s="1147">
        <f>IF(ISNUMBER(E23/B23),E23/B23," - ")</f>
        <v>585.79999999999995</v>
      </c>
      <c r="G23" s="1146">
        <f>SUBTOTAL(9,G15:G22)</f>
        <v>3024</v>
      </c>
      <c r="H23" s="1147">
        <f>IF(ISNUMBER(G23/B23),G23/B23," - ")</f>
        <v>604.79999999999995</v>
      </c>
      <c r="I23" s="1146">
        <f>SUBTOTAL(9,I15:I22)</f>
        <v>1290</v>
      </c>
      <c r="J23" s="1147">
        <f>IF(ISNUMBER(I23/B23),I23/B23," - ")</f>
        <v>258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5647</v>
      </c>
      <c r="D31" s="1085" t="str">
        <f>IF(ISNUMBER(C31/Datos!BI31),C31/Datos!BI31," - ")</f>
        <v xml:space="preserve"> - </v>
      </c>
      <c r="E31" s="1084">
        <f>SUBTOTAL(9,E9:E30)</f>
        <v>5425</v>
      </c>
      <c r="F31" s="1085">
        <f>IF(ISNUMBER(E31/B31),E31/B31," - ")</f>
        <v>452.08333333333331</v>
      </c>
      <c r="G31" s="1084">
        <f>SUBTOTAL(9,G9:G30)</f>
        <v>5538</v>
      </c>
      <c r="H31" s="1085">
        <f>IF(ISNUMBER(G31/B31),G31/B31," - ")</f>
        <v>461.5</v>
      </c>
      <c r="I31" s="1084">
        <f>SUBTOTAL(9,I9:I30)</f>
        <v>5385</v>
      </c>
      <c r="J31" s="1085">
        <f>IF(ISNUMBER(I31/B31),I31/B31," - ")</f>
        <v>448.75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c/AlQWSLI2DJHH4UerMyQ49QnmEFDJHDuxC069T48kWLLvtNWzHQ6zQ7FvA1VSb1kwu0t52IQ/xy2wgcbhyag==" saltValue="9hIObuFISYCiHpHnS8qj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BADAJOZ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1 al 1</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317</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59</v>
      </c>
      <c r="G10" s="906">
        <f>IF(ISNUMBER(Datos!I10),Datos!I10," - ")</f>
        <v>59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4.5454545454545459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10.000000000000002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-0.13157894736842105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59</v>
      </c>
      <c r="G14" s="1256">
        <f t="shared" si="0"/>
        <v>59</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17</v>
      </c>
      <c r="AE14" s="1257">
        <f t="shared" si="1"/>
        <v>0</v>
      </c>
      <c r="AF14" s="1257">
        <f t="shared" si="1"/>
        <v>50</v>
      </c>
      <c r="AG14" s="1257">
        <f t="shared" si="1"/>
        <v>0</v>
      </c>
      <c r="AH14" s="1257">
        <f t="shared" si="1"/>
        <v>99</v>
      </c>
      <c r="AI14" s="1257">
        <f t="shared" si="1"/>
        <v>0</v>
      </c>
      <c r="AJ14" s="1257">
        <f t="shared" si="1"/>
        <v>0</v>
      </c>
      <c r="AK14" s="1257">
        <f t="shared" si="1"/>
        <v>0</v>
      </c>
      <c r="AL14" s="1257">
        <f t="shared" si="1"/>
        <v>11</v>
      </c>
      <c r="AM14" s="1257">
        <f t="shared" si="1"/>
        <v>9</v>
      </c>
      <c r="AN14" s="1257">
        <f t="shared" si="1"/>
        <v>0</v>
      </c>
      <c r="AO14" s="1257">
        <f t="shared" si="1"/>
        <v>0</v>
      </c>
      <c r="AP14" s="1262">
        <f>IF(ISNUMBER(((Datos!L14/Datos!K14)*11)/factor_trimestre),((Datos!L14/Datos!K14)*11)/factor_trimestre," - ")</f>
        <v>5.0059777967549106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-0.55932203389830504</v>
      </c>
      <c r="AU14" s="1257" t="str">
        <f>IF(ISNUMBER((DatosP!#REF!-DatosP!#REF!+DatosP!#REF!)/(DatosP!#REF!+DatosP!#REF!-DatosP!#REF!-DatosP!#REF!)),(DatosP!#REF!-DatosP!#REF!+DatosP!#REF!)/(DatosP!#REF!+DatosP!#REF!-DatosP!#REF!-DatosP!#REF!)," - ")</f>
        <v xml:space="preserve"> - </v>
      </c>
      <c r="AV14" s="1263">
        <f>SUBTOTAL(9,AV9:AV13)</f>
        <v>-0.13157894736842105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1.2797619047619047</v>
      </c>
      <c r="AQ23" s="1262">
        <f>IF(ISNUMBER(((Datos!M23/Datos!L23)*11)/factor_trimestre),((Datos!M23/Datos!L23)*11)/factor_trimestre," - ")</f>
        <v>0.94418604651162785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9.6491228070175433E-2</v>
      </c>
      <c r="AW23" s="1265">
        <f>IF(ISNUMBER((Datos!Q23-Datos!R23)/(Datos!S23-Datos!Q23+Datos!R23)),(Datos!Q23-Datos!R23)/(Datos!S23-Datos!Q23+Datos!R23)," - ")</f>
        <v>-6.187974314068885E-2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59</v>
      </c>
      <c r="G31" s="1278">
        <f t="shared" si="8"/>
        <v>59</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17</v>
      </c>
      <c r="AE31" s="1284">
        <f t="shared" si="9"/>
        <v>0</v>
      </c>
      <c r="AF31" s="1285">
        <f t="shared" si="9"/>
        <v>50</v>
      </c>
      <c r="AG31" s="1285">
        <f t="shared" si="9"/>
        <v>0</v>
      </c>
      <c r="AH31" s="1285">
        <f t="shared" si="9"/>
        <v>99</v>
      </c>
      <c r="AI31" s="1285">
        <f t="shared" si="9"/>
        <v>0</v>
      </c>
      <c r="AJ31" s="1286">
        <f t="shared" si="9"/>
        <v>0</v>
      </c>
      <c r="AK31" s="1286">
        <f t="shared" si="9"/>
        <v>0</v>
      </c>
      <c r="AL31" s="1278">
        <f t="shared" si="9"/>
        <v>11</v>
      </c>
      <c r="AM31" s="1278">
        <f t="shared" si="9"/>
        <v>9</v>
      </c>
      <c r="AN31" s="1278">
        <f t="shared" si="9"/>
        <v>0</v>
      </c>
      <c r="AO31" s="1278">
        <f t="shared" si="9"/>
        <v>0</v>
      </c>
      <c r="AP31" s="1278">
        <f>IF(ISNUMBER(((Datos!L31/Datos!K31)*11)/factor_trimestre),((Datos!L31/Datos!K31)*11)/factor_trimestre," - ")</f>
        <v>2.9060752888557588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-0.55932203389830504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2.1149539686489177E-3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3.0322342331100418</v>
      </c>
      <c r="F33" s="1006">
        <f>IF(ISNUMBER(STDEV(F8:F30)),STDEV(F8:F30),"-")</f>
        <v>32.315630892804798</v>
      </c>
      <c r="G33" s="1007">
        <f>IF(ISNUMBER(STDEV(G8:G30)),STDEV(G8:G30),"-")</f>
        <v>32.315630892804798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3.5997267405787521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FZLo6cP28KP/blbc4NJRzVE16UhpZR+349A4v7IWMTA5AkvhvW89i6Ps+n9n+HxZOAWMyA01+W4SYHBHcjtbQ==" saltValue="YEVhYMyA/EtDnSPhjaEU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276</v>
      </c>
      <c r="B3" s="439" t="str">
        <f>Criterios!A10 &amp;"  "&amp;Criterios!B10</f>
        <v>Provincias  BADAJOZ</v>
      </c>
      <c r="C3" s="463"/>
      <c r="F3" s="436"/>
      <c r="G3" s="436"/>
      <c r="H3" s="436"/>
    </row>
    <row r="4" spans="1:15" ht="13.5" thickBot="1">
      <c r="A4" s="436"/>
      <c r="B4" s="439" t="str">
        <f>Criterios!A11 &amp;"  "&amp;Criterios!B11</f>
        <v>Resumenes por Partidos Judiciales  BADAJOZ</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j5Q2GpWlRKfh/otF6ycyL8xpZADcW3rI1KnlyATNt1AUsIr6cFP7K+9drWGk6FK0AD8X2SkthW9ZdolwhkgzQ==" saltValue="3RtXXJIOxrtBWN7pKkW1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BADAJOZ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475</v>
      </c>
      <c r="E9" s="452">
        <f t="shared" ref="E9:E14" si="0">IF(ISNUMBER(D9/B9),D9/B9," - ")</f>
        <v>79.166666666666671</v>
      </c>
      <c r="F9" s="451">
        <f>IF(ISNUMBER(Datos!N9),Datos!N9," - ")</f>
        <v>802</v>
      </c>
      <c r="G9" s="452">
        <f t="shared" ref="G9:G14" si="1">IF(ISNUMBER(F9/B9),F9/B9," - ")</f>
        <v>133.66666666666666</v>
      </c>
      <c r="H9" s="451">
        <f>IF(ISNUMBER(Datos!O9),Datos!O9," - ")</f>
        <v>1119</v>
      </c>
      <c r="I9" s="452">
        <f>IF(ISNUMBER(H9/B9),H9/B9," - ")</f>
        <v>186.5</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7</v>
      </c>
      <c r="G10" s="452">
        <f>IF(ISNUMBER(F10/B10),F10/B10," - ")</f>
        <v>7</v>
      </c>
      <c r="H10" s="451">
        <f>IF(ISNUMBER(Datos!O10),Datos!O10," - ")</f>
        <v>13</v>
      </c>
      <c r="I10" s="452">
        <f t="shared" ref="I10:I13" si="2">IF(ISNUMBER(H10/B10),H10/B10," - ")</f>
        <v>13</v>
      </c>
    </row>
    <row r="11" spans="1:9">
      <c r="A11" s="450" t="str">
        <f>Datos!A11</f>
        <v xml:space="preserve">Jdos. Familia                                   </v>
      </c>
      <c r="B11" s="480">
        <f>Datos!AO11</f>
        <v>1</v>
      </c>
      <c r="C11" s="458">
        <f>Datos!AQ11</f>
        <v>1</v>
      </c>
      <c r="D11" s="451">
        <f>IF(ISNUMBER(Datos!M11),Datos!M11," - ")</f>
        <v>182</v>
      </c>
      <c r="E11" s="452">
        <f t="shared" si="0"/>
        <v>182</v>
      </c>
      <c r="F11" s="451">
        <f>IF(ISNUMBER(Datos!N11),Datos!N11," - ")</f>
        <v>132</v>
      </c>
      <c r="G11" s="452">
        <f t="shared" si="1"/>
        <v>132</v>
      </c>
      <c r="H11" s="451">
        <f>IF(ISNUMBER(Datos!O11),Datos!O11," - ")</f>
        <v>73</v>
      </c>
      <c r="I11" s="452">
        <f t="shared" si="2"/>
        <v>73</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668</v>
      </c>
      <c r="E14" s="1147">
        <f t="shared" si="0"/>
        <v>83.5</v>
      </c>
      <c r="F14" s="1146">
        <f>SUBTOTAL(9,F9:F13)</f>
        <v>943</v>
      </c>
      <c r="G14" s="1147">
        <f t="shared" si="1"/>
        <v>117.875</v>
      </c>
      <c r="H14" s="1146">
        <f>SUBTOTAL(9,H9:H13)</f>
        <v>1206</v>
      </c>
      <c r="I14" s="1147">
        <f>IF(ISNUMBER(H14/B14),H14/B14," - ")</f>
        <v>150.75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373</v>
      </c>
      <c r="E16" s="452">
        <f t="shared" ref="E16:E23" si="3">IF(ISNUMBER(D16/B16),D16/B16," - ")</f>
        <v>93.25</v>
      </c>
      <c r="F16" s="451">
        <f>IF(ISNUMBER(Datos!N16),Datos!N16," - ")</f>
        <v>1787</v>
      </c>
      <c r="G16" s="452">
        <f t="shared" ref="G16:G23" si="4">IF(ISNUMBER(F16/B16),F16/B16," - ")</f>
        <v>446.75</v>
      </c>
      <c r="H16" s="451">
        <f>IF(ISNUMBER(Datos!O16),Datos!O16," - ")</f>
        <v>48</v>
      </c>
      <c r="I16" s="452">
        <f t="shared" ref="I16:I22" si="5">IF(ISNUMBER(H16/B16),H16/B16," - ")</f>
        <v>12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33</v>
      </c>
      <c r="E18" s="452">
        <f>IF(ISNUMBER(D18/B18),D18/B18," - ")</f>
        <v>33</v>
      </c>
      <c r="F18" s="451">
        <f>IF(ISNUMBER(Datos!N18),Datos!N18," - ")</f>
        <v>89</v>
      </c>
      <c r="G18" s="452">
        <f>IF(ISNUMBER(F18/B18),F18/B18," - ")</f>
        <v>89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406</v>
      </c>
      <c r="E23" s="1147">
        <f t="shared" si="3"/>
        <v>81.2</v>
      </c>
      <c r="F23" s="1146">
        <f>SUBTOTAL(9,F16:F22)</f>
        <v>1876</v>
      </c>
      <c r="G23" s="1147">
        <f t="shared" si="4"/>
        <v>375.2</v>
      </c>
      <c r="H23" s="1146">
        <f>SUBTOTAL(9,H16:H22)</f>
        <v>48</v>
      </c>
      <c r="I23" s="1147">
        <f>IF(ISNUMBER(H23/B23),H23/B23," - ")</f>
        <v>9.6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1074</v>
      </c>
      <c r="E31" s="1085">
        <f>IF(ISNUMBER(D31/B31),D31/B31," - ")</f>
        <v>89.5</v>
      </c>
      <c r="F31" s="1084">
        <f>SUBTOTAL(9,F8:F30)</f>
        <v>2819</v>
      </c>
      <c r="G31" s="1085">
        <f>IF(ISNUMBER(F31/B31),F31/B31," - ")</f>
        <v>234.91666666666666</v>
      </c>
      <c r="H31" s="1084">
        <f>SUBTOTAL(9,H8:H30)</f>
        <v>1254</v>
      </c>
      <c r="I31" s="1085">
        <f>IF(ISNUMBER(H31/B31),H31/B31," - ")</f>
        <v>104.5</v>
      </c>
    </row>
    <row r="34" spans="1:1">
      <c r="A34" s="439" t="str">
        <f>Criterios!A4</f>
        <v>Fecha Informe: 05 may. 2023</v>
      </c>
    </row>
    <row r="39" spans="1:1">
      <c r="A39" s="462"/>
    </row>
  </sheetData>
  <sheetProtection algorithmName="SHA-512" hashValue="ID6h2SGNTqdpKSdqicihURzhi9offuTuKn8gCp/skWL5Ln2OclXdUIAbxwSY3UZ4D3lVdkhQ8CIhoapHggw9xQ==" saltValue="EuWVlm1nTU9DknVP0DfG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BADAJOZ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578</v>
      </c>
      <c r="C9" s="489">
        <f>IF(ISNUMBER(Datos!Q9),Datos!Q9," - ")</f>
        <v>561</v>
      </c>
      <c r="D9" s="456">
        <f>IF(ISNUMBER(Datos!R9),Datos!R9," - ")</f>
        <v>7230</v>
      </c>
    </row>
    <row r="10" spans="1:4">
      <c r="A10" s="450" t="str">
        <f>Datos!A10</f>
        <v>Jdos. Violencia contra la mujer</v>
      </c>
      <c r="B10" s="488">
        <f>IF(ISNUMBER(Datos!P10),Datos!P10," - ")</f>
        <v>4</v>
      </c>
      <c r="C10" s="489">
        <f>IF(ISNUMBER(Datos!Q10),Datos!Q10," - ")</f>
        <v>15</v>
      </c>
      <c r="D10" s="456">
        <f>IF(ISNUMBER(Datos!R10),Datos!R10," - ")</f>
        <v>69</v>
      </c>
    </row>
    <row r="11" spans="1:4">
      <c r="A11" s="450" t="str">
        <f>Datos!A11</f>
        <v xml:space="preserve">Jdos. Familia                                   </v>
      </c>
      <c r="B11" s="488">
        <f>IF(ISNUMBER(Datos!P11),Datos!P11," - ")</f>
        <v>49</v>
      </c>
      <c r="C11" s="489">
        <f>IF(ISNUMBER(Datos!Q11),Datos!Q11," - ")</f>
        <v>45</v>
      </c>
      <c r="D11" s="456">
        <f>IF(ISNUMBER(Datos!R11),Datos!R11," - ")</f>
        <v>407</v>
      </c>
    </row>
    <row r="12" spans="1:4">
      <c r="A12" s="450" t="str">
        <f>Datos!A12</f>
        <v xml:space="preserve">Jdos. 1ª Instª. e Instr.                        </v>
      </c>
      <c r="B12" s="488">
        <f>IF(ISNUMBER(Datos!P12),Datos!P12," - ")</f>
        <v>2</v>
      </c>
      <c r="C12" s="489">
        <f>IF(ISNUMBER(Datos!Q12),Datos!Q12," - ")</f>
        <v>17</v>
      </c>
      <c r="D12" s="456">
        <f>IF(ISNUMBER(Datos!R12),Datos!R12," - ")</f>
        <v>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633</v>
      </c>
      <c r="C14" s="1150">
        <f>SUBTOTAL(9,C9:C13)</f>
        <v>638</v>
      </c>
      <c r="D14" s="1148">
        <f>SUBTOTAL(9,D9:D13)</f>
        <v>7805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160</v>
      </c>
      <c r="C16" s="489">
        <f>IF(ISNUMBER(Datos!Q16),Datos!Q16," - ")</f>
        <v>140</v>
      </c>
      <c r="D16" s="456">
        <f>IF(ISNUMBER(Datos!R16),Datos!R16," - ")</f>
        <v>230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4</v>
      </c>
      <c r="D18" s="456">
        <f>IF(ISNUMBER(Datos!R18),Datos!R18," - ")</f>
        <v>20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166</v>
      </c>
      <c r="C23" s="1150">
        <f>SUBTOTAL(9,C16:C22)</f>
        <v>144</v>
      </c>
      <c r="D23" s="1148">
        <f>SUBTOTAL(9,D16:D22)</f>
        <v>250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799</v>
      </c>
      <c r="C31" s="1089">
        <f>SUBTOTAL(9,C8:C30)</f>
        <v>782</v>
      </c>
      <c r="D31" s="1090">
        <f>SUBTOTAL(9,D8:D30)</f>
        <v>8055</v>
      </c>
    </row>
    <row r="32" spans="1:4" ht="7.5" customHeight="1"/>
    <row r="33" spans="1:1" ht="6" customHeight="1"/>
    <row r="34" spans="1:1">
      <c r="A34" s="439" t="str">
        <f>Criterios!A4</f>
        <v>Fecha Informe: 05 may. 2023</v>
      </c>
    </row>
    <row r="39" spans="1:1">
      <c r="A39" s="462"/>
    </row>
  </sheetData>
  <sheetProtection algorithmName="SHA-512" hashValue="KMYi8+o26vNks6Q+87iWU5xy0TXYW+ti66AeTekpTv9+ggXy4DnD2ZqSJGfP+D30RTR+JscvKCEA6BerRreDuA==" saltValue="qYh957g7RjIkqjkrUczx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BADAJOZ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-9.145427286356822E-2</v>
      </c>
      <c r="C9" s="515">
        <f>IF(ISNUMBER(
   IF(J_V="SI",(Datos!J9-Datos!T9)/Datos!T9,(Datos!J9+Datos!Z9-(Datos!T9+Datos!AH9))/(Datos!T9+Datos!AH9))
     ),IF(J_V="SI",(Datos!J9-Datos!T9)/Datos!T9,(Datos!J9+Datos!Z9-(Datos!T9+Datos!AH9))/(Datos!T9+Datos!AH9))," - ")</f>
        <v>-0.13167549938850387</v>
      </c>
      <c r="D9" s="515">
        <f>IF(ISNUMBER(
   IF(J_V="SI",(Datos!K9-Datos!U9)/Datos!U9,(Datos!K9+Datos!AA9-(Datos!U9+Datos!AI9))/(Datos!U9+Datos!AI9))
     ),IF(J_V="SI",(Datos!K9-Datos!U9)/Datos!U9,(Datos!K9+Datos!AA9-(Datos!U9+Datos!AI9))/(Datos!U9+Datos!AI9))," - ")</f>
        <v>-0.10611895592640137</v>
      </c>
      <c r="E9" s="515">
        <f>IF(ISNUMBER(
   IF(J_V="SI",(Datos!L9-Datos!V9)/Datos!V9,(Datos!L9+Datos!AB9-(Datos!V9+Datos!AJ9))/(Datos!V9+Datos!AJ9))
     ),IF(J_V="SI",(Datos!L9-Datos!V9)/Datos!V9,(Datos!L9+Datos!AB9-(Datos!V9+Datos!AJ9))/(Datos!V9+Datos!AJ9))," - ")</f>
        <v>-0.15444390480815931</v>
      </c>
      <c r="F9" s="515">
        <f>IF(ISNUMBER((Datos!M9-Datos!W9)/Datos!W9),(Datos!M9-Datos!W9)/Datos!W9," - ")</f>
        <v>-1.859504132231405E-2</v>
      </c>
      <c r="G9" s="516">
        <f>IF(ISNUMBER((Datos!N9-Datos!X9)/Datos!X9),(Datos!N9-Datos!X9)/Datos!X9," - ")</f>
        <v>-0.2266152362584378</v>
      </c>
      <c r="H9" s="514">
        <f>IF(ISNUMBER(((NºAsuntos!G9/NºAsuntos!E9)-Datos!BD9)/Datos!BD9),((NºAsuntos!G9/NºAsuntos!E9)-Datos!BD9)/Datos!BD9," - ")</f>
        <v>2.9432019301660763E-2</v>
      </c>
      <c r="I9" s="515">
        <f>IF(ISNUMBER(((NºAsuntos!I9/NºAsuntos!G9)-Datos!BE9)/Datos!BE9),((NºAsuntos!I9/NºAsuntos!G9)-Datos!BE9)/Datos!BE9," - ")</f>
        <v>-5.4061946164034543E-2</v>
      </c>
      <c r="J9" s="521">
        <f>IF(ISNUMBER((('Resol  Asuntos'!D9/NºAsuntos!G9)-Datos!BF9)/Datos!BF9),(('Resol  Asuntos'!D9/NºAsuntos!G9)-Datos!BF9)/Datos!BF9," - ")</f>
        <v>-0.48756931772387208</v>
      </c>
      <c r="K9" s="522">
        <f>IF(ISNUMBER((((NºAsuntos!C9+NºAsuntos!E9)/NºAsuntos!G9)-Datos!BG9)/Datos!BG9),(((NºAsuntos!C9+NºAsuntos!E9)/NºAsuntos!G9)-Datos!BG9)/Datos!BG9," - ")</f>
        <v>-6.9361144039871642E-4</v>
      </c>
    </row>
    <row r="10" spans="1:11">
      <c r="A10" s="450" t="str">
        <f>Datos!A10</f>
        <v>Jdos. Violencia contra la mujer</v>
      </c>
      <c r="B10" s="514">
        <f>IF(ISNUMBER((Datos!I10-Datos!S10)/Datos!S10),(Datos!I10-Datos!S10)/Datos!S10," - ")</f>
        <v>3.5087719298245612E-2</v>
      </c>
      <c r="C10" s="515">
        <f>IF(ISNUMBER((Datos!J10-Datos!T10)/Datos!T10),(Datos!J10-Datos!T10)/Datos!T10," - ")</f>
        <v>4.3478260869565216E-2</v>
      </c>
      <c r="D10" s="515">
        <f>IF(ISNUMBER((Datos!K10-Datos!U10)/Datos!U10),(Datos!K10-Datos!U10)/Datos!U10," - ")</f>
        <v>-0.13157894736842105</v>
      </c>
      <c r="E10" s="515">
        <f>IF(ISNUMBER((Datos!L10-Datos!V10)/Datos!V10),(Datos!L10-Datos!V10)/Datos!V10," - ")</f>
        <v>0.19047619047619047</v>
      </c>
      <c r="F10" s="515">
        <f>IF(ISNUMBER((Datos!M10-Datos!W10)/Datos!W10),(Datos!M10-Datos!W10)/Datos!W10," - ")</f>
        <v>-8.3333333333333329E-2</v>
      </c>
      <c r="G10" s="516">
        <f>IF(ISNUMBER((Datos!N10-Datos!X10)/Datos!X10),(Datos!N10-Datos!X10)/Datos!X10," - ")</f>
        <v>-0.46153846153846156</v>
      </c>
      <c r="H10" s="514">
        <f>IF(ISNUMBER(((NºAsuntos!G10/NºAsuntos!E10)-Datos!BD10)/Datos!BD10),((NºAsuntos!G10/NºAsuntos!E10)-Datos!BD10)/Datos!BD10," - ")</f>
        <v>-0.16776315789473684</v>
      </c>
      <c r="I10" s="515">
        <f>IF(ISNUMBER(((NºAsuntos!I10/NºAsuntos!G10)-Datos!BE10)/Datos!BE10),((NºAsuntos!I10/NºAsuntos!G10)-Datos!BE10)/Datos!BE10," - ")</f>
        <v>0.37085137085137071</v>
      </c>
      <c r="J10" s="521">
        <f>IF(ISNUMBER((('Resol  Asuntos'!D10/NºAsuntos!G10)-Datos!BF10)/Datos!BF10),(('Resol  Asuntos'!D10/NºAsuntos!G10)-Datos!BF10)/Datos!BF10," - ")</f>
        <v>5.5555555555555552E-2</v>
      </c>
      <c r="K10" s="522">
        <f>IF(ISNUMBER((((NºAsuntos!C10+NºAsuntos!E10)/NºAsuntos!G10)-Datos!BG10)/Datos!BG10),(((NºAsuntos!C10+NºAsuntos!E10)/NºAsuntos!G10)-Datos!BG10)/Datos!BG10," - ")</f>
        <v>0.19469696969696976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-0.17403314917127072</v>
      </c>
      <c r="C11" s="515">
        <f>IF(ISNUMBER(
   IF(J_V="SI",(Datos!J11-Datos!T11)/Datos!T11,(Datos!J11+Datos!Z11-(Datos!T11+Datos!AH11))/(Datos!T11+Datos!AH11))
     ),IF(J_V="SI",(Datos!J11-Datos!T11)/Datos!T11,(Datos!J11+Datos!Z11-(Datos!T11+Datos!AH11))/(Datos!T11+Datos!AH11))," - ")</f>
        <v>-4.7752808988764044E-2</v>
      </c>
      <c r="D11" s="515">
        <f>IF(ISNUMBER(
   IF(J_V="SI",(Datos!K11-Datos!U11)/Datos!U11,(Datos!K11+Datos!AA11-(Datos!U11+Datos!AI11))/(Datos!U11+Datos!AI11))
     ),IF(J_V="SI",(Datos!K11-Datos!U11)/Datos!U11,(Datos!K11+Datos!AA11-(Datos!U11+Datos!AI11))/(Datos!U11+Datos!AI11))," - ")</f>
        <v>-7.8199052132701424E-2</v>
      </c>
      <c r="E11" s="515">
        <f>IF(ISNUMBER(
   IF(J_V="SI",(Datos!L11-Datos!V11)/Datos!V11,(Datos!L11+Datos!AB11-(Datos!V11+Datos!AJ11))/(Datos!V11+Datos!AJ11))
     ),IF(J_V="SI",(Datos!L11-Datos!V11)/Datos!V11,(Datos!L11+Datos!AB11-(Datos!V11+Datos!AJ11))/(Datos!V11+Datos!AJ11))," - ")</f>
        <v>-0.16591251885369532</v>
      </c>
      <c r="F11" s="515">
        <f>IF(ISNUMBER((Datos!M11-Datos!W11)/Datos!W11),(Datos!M11-Datos!W11)/Datos!W11," - ")</f>
        <v>-5.4644808743169399E-3</v>
      </c>
      <c r="G11" s="516">
        <f>IF(ISNUMBER((Datos!N11-Datos!X11)/Datos!X11),(Datos!N11-Datos!X11)/Datos!X11," - ")</f>
        <v>-5.7142857142857141E-2</v>
      </c>
      <c r="H11" s="514">
        <f>IF(ISNUMBER(((NºAsuntos!G11/NºAsuntos!E11)-Datos!BD11)/Datos!BD11),((NºAsuntos!G11/NºAsuntos!E11)-Datos!BD11)/Datos!BD11," - ")</f>
        <v>-3.1973045897468008E-2</v>
      </c>
      <c r="I11" s="515">
        <f>IF(ISNUMBER(((NºAsuntos!I11/NºAsuntos!G11)-Datos!BE11)/Datos!BE11),((NºAsuntos!I11/NºAsuntos!G11)-Datos!BE11)/Datos!BE11," - ")</f>
        <v>-9.5154454900409843E-2</v>
      </c>
      <c r="J11" s="521">
        <f>IF(ISNUMBER((('Resol  Asuntos'!D11/NºAsuntos!G11)-Datos!BF11)/Datos!BF11),(('Resol  Asuntos'!D11/NºAsuntos!G11)-Datos!BF11)/Datos!BF11," - ")</f>
        <v>0.41028277634961452</v>
      </c>
      <c r="K11" s="522">
        <f>IF(ISNUMBER((((NºAsuntos!C11+NºAsuntos!E11)/NºAsuntos!G11)-Datos!BG11)/Datos!BG11),(((NºAsuntos!C11+NºAsuntos!E11)/NºAsuntos!G11)-Datos!BG11)/Datos!BG11," - ")</f>
        <v>-5.8807007521660334E-2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0.1111111111111111</v>
      </c>
      <c r="C12" s="515">
        <f>IF(ISNUMBER(
   IF(J_V="SI",(Datos!J12-Datos!T12)/Datos!T12,(Datos!J12+Datos!Z12-(Datos!T12+Datos!AH12))/(Datos!T12+Datos!AH12))
     ),IF(J_V="SI",(Datos!J12-Datos!T12)/Datos!T12,(Datos!J12+Datos!Z12-(Datos!T12+Datos!AH12))/(Datos!T12+Datos!AH12))," - ")</f>
        <v>-0.4</v>
      </c>
      <c r="D12" s="515">
        <f>IF(ISNUMBER(
   IF(J_V="SI",(Datos!K12-Datos!U12)/Datos!U12,(Datos!K12+Datos!AA12-(Datos!U12+Datos!AI12))/(Datos!U12+Datos!AI12))
     ),IF(J_V="SI",(Datos!K12-Datos!U12)/Datos!U12,(Datos!K12+Datos!AA12-(Datos!U12+Datos!AI12))/(Datos!U12+Datos!AI12))," - ")</f>
        <v>-0.25</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f>IF(ISNUMBER((Datos!N12-Datos!X12)/Datos!X12),(Datos!N12-Datos!X12)/Datos!X12," - ")</f>
        <v>1</v>
      </c>
      <c r="H12" s="514">
        <f>IF(ISNUMBER(((NºAsuntos!G12/NºAsuntos!E12)-Datos!BD12)/Datos!BD12),((NºAsuntos!G12/NºAsuntos!E12)-Datos!BD12)/Datos!BD12," - ")</f>
        <v>0.24999999999999994</v>
      </c>
      <c r="I12" s="515">
        <f>IF(ISNUMBER(((NºAsuntos!I12/NºAsuntos!G12)-Datos!BE12)/Datos!BE12),((NºAsuntos!I12/NºAsuntos!G12)-Datos!BE12)/Datos!BE12," - ")</f>
        <v>0.33333333333333337</v>
      </c>
      <c r="J12" s="521">
        <f>IF(ISNUMBER((('Resol  Asuntos'!D12/NºAsuntos!G12)-Datos!BF12)/Datos!BF12),(('Resol  Asuntos'!D12/NºAsuntos!G12)-Datos!BF12)/Datos!BF12," - ")</f>
        <v>-1</v>
      </c>
      <c r="K12" s="522">
        <f>IF(ISNUMBER((((NºAsuntos!C12+NºAsuntos!E12)/NºAsuntos!G12)-Datos!BG12)/Datos!BG12),(((NºAsuntos!C12+NºAsuntos!E12)/NºAsuntos!G12)-Datos!BG12)/Datos!BG12," - ")</f>
        <v>0.238095238095238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-0.10204507512520868</v>
      </c>
      <c r="C14" s="1152">
        <f>IF(ISNUMBER(
   IF(J_V="SI",(Datos!J14-Datos!T14)/Datos!T14,(Datos!J14+Datos!Z14-(Datos!T14+Datos!AH14))/(Datos!T14+Datos!AH14))
     ),IF(J_V="SI",(Datos!J14-Datos!T14)/Datos!T14,(Datos!J14+Datos!Z14-(Datos!T14+Datos!AH14))/(Datos!T14+Datos!AH14))," - ")</f>
        <v>-0.12019739161085653</v>
      </c>
      <c r="D14" s="1152">
        <f>IF(ISNUMBER(
   IF(J_V="SI",(Datos!K14-Datos!U14)/Datos!U14,(Datos!K14+Datos!AA14-(Datos!U14+Datos!AI14))/(Datos!U14+Datos!AI14))
     ),IF(J_V="SI",(Datos!K14-Datos!U14)/Datos!U14,(Datos!K14+Datos!AA14-(Datos!U14+Datos!AI14))/(Datos!U14+Datos!AI14))," - ")</f>
        <v>-0.10246340592645484</v>
      </c>
      <c r="E14" s="1152">
        <f>IF(ISNUMBER(
   IF(J_V="SI",(Datos!L14-Datos!V14)/Datos!V14,(Datos!L14+Datos!AB14-(Datos!V14+Datos!AJ14))/(Datos!V14+Datos!AJ14))
     ),IF(J_V="SI",(Datos!L14-Datos!V14)/Datos!V14,(Datos!L14+Datos!AB14-(Datos!V14+Datos!AJ14))/(Datos!V14+Datos!AJ14))," - ")</f>
        <v>-0.1527001862197393</v>
      </c>
      <c r="F14" s="1153">
        <f>IF(ISNUMBER((Datos!M14-Datos!W14)/Datos!W14),(Datos!M14-Datos!W14)/Datos!W14," - ")</f>
        <v>-1.6200294550810016E-2</v>
      </c>
      <c r="G14" s="1154">
        <f>IF(ISNUMBER((Datos!N14-Datos!X14)/Datos!X14),(Datos!N14-Datos!X14)/Datos!X14," - ")</f>
        <v>-0.20822837951301426</v>
      </c>
      <c r="H14" s="1154">
        <f>IF(ISNUMBER(((NºAsuntos!G14/NºAsuntos!E14)-Datos!BD14)/Datos!BD14),((NºAsuntos!G14/NºAsuntos!E14)-Datos!BD14)/Datos!BD14," - ")</f>
        <v>2.0156777799137736E-2</v>
      </c>
      <c r="I14" s="1154">
        <f>IF(ISNUMBER(((NºAsuntos!I14/NºAsuntos!G14)-Datos!BE14)/Datos!BE14),((NºAsuntos!I14/NºAsuntos!G14)-Datos!BE14)/Datos!BE14," - ")</f>
        <v>-5.5971846301308602E-2</v>
      </c>
      <c r="J14" s="1154">
        <f>IF(ISNUMBER((('Resol  Asuntos'!D14/NºAsuntos!G14)-Datos!BF14)/Datos!BF14),(('Resol  Asuntos'!D14/NºAsuntos!G14)-Datos!BF14)/Datos!BF14," - ")</f>
        <v>-0.37457197676206516</v>
      </c>
      <c r="K14" s="1154">
        <f>IF(ISNUMBER((((NºAsuntos!C14+NºAsuntos!E14)/NºAsuntos!G14)-Datos!BG14)/Datos!BG14),(((NºAsuntos!C14+NºAsuntos!E14)/NºAsuntos!G14)-Datos!BG14)/Datos!BG14," - ")</f>
        <v>-7.0548433817156884E-3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-0.18054672600127145</v>
      </c>
      <c r="C16" s="515">
        <f>IF(ISNUMBER(
   IF(D_I="SI",(Datos!J16-Datos!T16)/Datos!T16,(Datos!J16+Datos!AD16-(Datos!T16+Datos!AL16))/(Datos!T16+Datos!AL16))
     ),IF(D_I="SI",(Datos!J16-Datos!T16)/Datos!T16,(Datos!J16+Datos!AD16-(Datos!T16+Datos!AL16))/(Datos!T16+Datos!AL16))," - ")</f>
        <v>0.19122807017543861</v>
      </c>
      <c r="D16" s="515">
        <f>IF(ISNUMBER(
   IF(D_I="SI",(Datos!K16-Datos!U16)/Datos!U16,(Datos!K16+Datos!AE16-(Datos!U16+Datos!AM16))/(Datos!U16+Datos!AM16))
     ),IF(D_I="SI",(Datos!K16-Datos!U16)/Datos!U16,(Datos!K16+Datos!AE16-(Datos!U16+Datos!AM16))/(Datos!U16+Datos!AM16))," - ")</f>
        <v>0.15183673469387754</v>
      </c>
      <c r="E16" s="515">
        <f>IF(ISNUMBER(
   IF(D_I="SI",(Datos!L16-Datos!V16)/Datos!V16,(Datos!L16+Datos!AF16-(Datos!V16+Datos!AN16))/(Datos!V16+Datos!AN16))
     ),IF(D_I="SI",(Datos!L16-Datos!V16)/Datos!V16,(Datos!L16+Datos!AF16-(Datos!V16+Datos!AN16))/(Datos!V16+Datos!AN16))," - ")</f>
        <v>-0.17129316181448884</v>
      </c>
      <c r="F16" s="515">
        <f>IF(ISNUMBER((Datos!M16-Datos!W16)/Datos!W16),(Datos!M16-Datos!W16)/Datos!W16," - ")</f>
        <v>6.8767908309455589E-2</v>
      </c>
      <c r="G16" s="516">
        <f>IF(ISNUMBER((Datos!N16-Datos!X16)/Datos!X16),(Datos!N16-Datos!X16)/Datos!X16," - ")</f>
        <v>0.20661715057393654</v>
      </c>
      <c r="H16" s="514">
        <f>IF(ISNUMBER(((NºAsuntos!G16/NºAsuntos!E16)-Datos!BD16)/Datos!BD16),((NºAsuntos!G16/NºAsuntos!E16)-Datos!BD16)/Datos!BD16," - ")</f>
        <v>-3.3067836854918528E-2</v>
      </c>
      <c r="I16" s="515">
        <f>IF(ISNUMBER(((NºAsuntos!I16/NºAsuntos!G16)-Datos!BE16)/Datos!BE16),((NºAsuntos!I16/NºAsuntos!G16)-Datos!BE16)/Datos!BE16," - ")</f>
        <v>-0.28053446011534289</v>
      </c>
      <c r="J16" s="521">
        <f>IF(ISNUMBER((('Resol  Asuntos'!D16/NºAsuntos!G16)-Datos!BF16)/Datos!BF16),(('Resol  Asuntos'!D16/NºAsuntos!G16)-Datos!BF16)/Datos!BF16," - ")</f>
        <v>-7.2118577123257879E-2</v>
      </c>
      <c r="K16" s="522">
        <f>IF(ISNUMBER((((NºAsuntos!C16+NºAsuntos!E16)/NºAsuntos!G16)-Datos!BG16)/Datos!BG16),(((NºAsuntos!C16+NºAsuntos!E16)/NºAsuntos!G16)-Datos!BG16)/Datos!BG16," - ")</f>
        <v>-9.7571949145262737E-2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0.61764705882352944</v>
      </c>
      <c r="C18" s="515">
        <f>IF(ISNUMBER(
   IF(D_I="SI",(Datos!J18-Datos!T18)/Datos!T18,(Datos!J18+Datos!AD18-(Datos!T18+Datos!AL18))/(Datos!T18+Datos!AL18))
     ),IF(D_I="SI",(Datos!J18-Datos!T18)/Datos!T18,(Datos!J18+Datos!AD18-(Datos!T18+Datos!AL18))/(Datos!T18+Datos!AL18))," - ")</f>
        <v>5.4455445544554455E-2</v>
      </c>
      <c r="D18" s="515">
        <f>IF(ISNUMBER(
   IF(D_I="SI",(Datos!K18-Datos!U18)/Datos!U18,(Datos!K18+Datos!AE18-(Datos!U18+Datos!AM18))/(Datos!U18+Datos!AM18))
     ),IF(D_I="SI",(Datos!K18-Datos!U18)/Datos!U18,(Datos!K18+Datos!AE18-(Datos!U18+Datos!AM18))/(Datos!U18+Datos!AM18))," - ")</f>
        <v>3.0612244897959183E-2</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-0.34</v>
      </c>
      <c r="G18" s="516">
        <f>IF(ISNUMBER((Datos!N18-Datos!X18)/Datos!X18),(Datos!N18-Datos!X18)/Datos!X18," - ")</f>
        <v>9.8765432098765427E-2</v>
      </c>
      <c r="H18" s="514">
        <f>IF(ISNUMBER(((NºAsuntos!G18/NºAsuntos!E18)-Datos!BD18)/Datos!BD18),((NºAsuntos!G18/NºAsuntos!E18)-Datos!BD18)/Datos!BD18," - ")</f>
        <v>-2.2611861646066819E-2</v>
      </c>
      <c r="I18" s="515">
        <f>IF(ISNUMBER(((NºAsuntos!I18/NºAsuntos!G18)-Datos!BE18)/Datos!BE18),((NºAsuntos!I18/NºAsuntos!G18)-Datos!BE18)/Datos!BE18," - ")</f>
        <v>0.45544554455445552</v>
      </c>
      <c r="J18" s="521">
        <f>IF(ISNUMBER((('Resol  Asuntos'!D18/NºAsuntos!G18)-Datos!BF18)/Datos!BF18),(('Resol  Asuntos'!D18/NºAsuntos!G18)-Datos!BF18)/Datos!BF18," - ")</f>
        <v>-0.35960396039603959</v>
      </c>
      <c r="K18" s="522">
        <f>IF(ISNUMBER((((NºAsuntos!C18+NºAsuntos!E18)/NºAsuntos!G18)-Datos!BG18)/Datos!BG18),(((NºAsuntos!C18+NºAsuntos!E18)/NºAsuntos!G18)-Datos!BG18)/Datos!BG18," - ")</f>
        <v>0.10186272864574598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-0.16365899191039204</v>
      </c>
      <c r="C23" s="1152">
        <f>IF(ISNUMBER(
   IF(Criterios!B14="SI",(Datos!J23-Datos!T23)/Datos!T23,(Datos!J23+Datos!AD23-(Datos!T23+Datos!AL23))/(Datos!T23+Datos!AL23))
     ),IF(Criterios!B14="SI",(Datos!J23-Datos!T23)/Datos!T23,(Datos!J23+Datos!AD23-(Datos!T23+Datos!AL23))/(Datos!T23+Datos!AL23))," - ")</f>
        <v>0.18009669621273167</v>
      </c>
      <c r="D23" s="1152">
        <f>IF(ISNUMBER(
   IF(Criterios!B14="SI",(Datos!K23-Datos!U23)/Datos!U23,(Datos!K23+Datos!AE23-(Datos!U23+Datos!AM23))/(Datos!U23+Datos!AM23))
     ),IF(Criterios!B14="SI",(Datos!K23-Datos!U23)/Datos!U23,(Datos!K23+Datos!AE23-(Datos!U23+Datos!AM23))/(Datos!U23+Datos!AM23))," - ")</f>
        <v>0.14285714285714285</v>
      </c>
      <c r="E23" s="1152">
        <f>IF(ISNUMBER(
   IF(Criterios!B14="SI",(Datos!L23-Datos!V23)/Datos!V23,(Datos!L23+Datos!AF23-(Datos!V23+Datos!AN23))/(Datos!V23+Datos!AN23))
     ),IF(Criterios!B14="SI",(Datos!L23-Datos!V23)/Datos!V23,(Datos!L23+Datos!AF23-(Datos!V23+Datos!AN23))/(Datos!V23+Datos!AN23))," - ")</f>
        <v>-0.15187376725838264</v>
      </c>
      <c r="F23" s="1153">
        <f>IF(ISNUMBER((Datos!M23-Datos!W23)/Datos!W23),(Datos!M23-Datos!W23)/Datos!W23," - ")</f>
        <v>1.7543859649122806E-2</v>
      </c>
      <c r="G23" s="1154">
        <f>IF(ISNUMBER((Datos!N23-Datos!X23)/Datos!X23),(Datos!N23-Datos!X23)/Datos!X23," - ")</f>
        <v>0.20102432778489115</v>
      </c>
      <c r="H23" s="1154">
        <f>IF(ISNUMBER(((NºAsuntos!G23/NºAsuntos!E23)-Datos!BD23)/Datos!BD23),((NºAsuntos!G23/NºAsuntos!E23)-Datos!BD23)/Datos!BD23," - ")</f>
        <v>-3.1556357606203934E-2</v>
      </c>
      <c r="I23" s="1154">
        <f>IF(ISNUMBER(((NºAsuntos!I23/NºAsuntos!G23)-Datos!BE23)/Datos!BE23),((NºAsuntos!I23/NºAsuntos!G23)-Datos!BE23)/Datos!BE23," - ")</f>
        <v>-0.2578895463510848</v>
      </c>
      <c r="J23" s="1154">
        <f>IF(ISNUMBER((('Resol  Asuntos'!D23/NºAsuntos!G23)-Datos!BF23)/Datos!BF23),(('Resol  Asuntos'!D23/NºAsuntos!G23)-Datos!BF23)/Datos!BF23," - ")</f>
        <v>-0.1096491228070174</v>
      </c>
      <c r="K23" s="1154">
        <f>IF(ISNUMBER((((NºAsuntos!C23+NºAsuntos!E23)/NºAsuntos!G23)-Datos!BG23)/Datos!BG23),(((NºAsuntos!C23+NºAsuntos!E23)/NºAsuntos!G23)-Datos!BG23)/Datos!BG23," - ")</f>
        <v>-8.5626069943751507E-2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-0.11751836224410064</v>
      </c>
      <c r="C31" s="1092">
        <f>IF(ISNUMBER(
   IF(J_V="SI",(Datos!J31-Datos!T31)/Datos!T31,(Datos!J31+Datos!Z31-(Datos!T31+Datos!AH31))/(Datos!T31+Datos!AH31))
     ),IF(J_V="SI",(Datos!J31-Datos!T31)/Datos!T31,(Datos!J31+Datos!Z31-(Datos!T31+Datos!AH31))/(Datos!T31+Datos!AH31))," - ")</f>
        <v>1.9928557999623991E-2</v>
      </c>
      <c r="D31" s="1092">
        <f>IF(ISNUMBER(
   IF(J_V="SI",(Datos!K31-Datos!U31)/Datos!U31,(Datos!K31+Datos!AA31-(Datos!U31+Datos!AI31))/(Datos!U31+Datos!AI31))
     ),IF(J_V="SI",(Datos!K31-Datos!U31)/Datos!U31,(Datos!K31+Datos!AA31-(Datos!U31+Datos!AI31))/(Datos!U31+Datos!AI31))," - ")</f>
        <v>1.6706443914081145E-2</v>
      </c>
      <c r="E31" s="1092">
        <f>IF(ISNUMBER(
   IF(J_V="SI",(Datos!L31-Datos!V31)/Datos!V31,(Datos!L31+Datos!AB31-(Datos!V31+Datos!AJ31))/(Datos!V31+Datos!AJ31))
     ),IF(J_V="SI",(Datos!L31-Datos!V31)/Datos!V31,(Datos!L31+Datos!AB31-(Datos!V31+Datos!AJ31))/(Datos!V31+Datos!AJ31))," - ")</f>
        <v>-0.15250236071765816</v>
      </c>
      <c r="F31" s="1093">
        <f>IF(ISNUMBER((Datos!M31-Datos!W31)/Datos!W31),(Datos!M31-Datos!W31)/Datos!W31," - ")</f>
        <v>-3.7105751391465678E-3</v>
      </c>
      <c r="G31" s="1094">
        <f>IF(ISNUMBER((Datos!N31-Datos!X31)/Datos!X31),(Datos!N31-Datos!X31)/Datos!X31," - ")</f>
        <v>2.3973846712677081E-2</v>
      </c>
      <c r="H31" s="1095">
        <f>IF(ISNUMBER((Tasas!B31-Datos!BD31)/Datos!BD31),(Tasas!B31-Datos!BD31)/Datos!BD31," - ")</f>
        <v>-3.1591566490326811E-3</v>
      </c>
      <c r="I31" s="1096">
        <f>IF(ISNUMBER((Tasas!C31-Datos!BE31)/Datos!BE31),(Tasas!C31-Datos!BE31)/Datos!BE31," - ")</f>
        <v>-0.16642837826455112</v>
      </c>
      <c r="J31" s="1097">
        <f>IF(ISNUMBER((Tasas!D31-Datos!BF31)/Datos!BF31),(Tasas!D31-Datos!BF31)/Datos!BF31," - ")</f>
        <v>-0.33520949485459017</v>
      </c>
      <c r="K31" s="1097">
        <f>IF(ISNUMBER((Tasas!E31-Datos!BG31)/Datos!BG31),(Tasas!E31-Datos!BG31)/Datos!BG31," - ")</f>
        <v>-7.0654913150748469E-2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nCxRhwoVJg5TpMw8mLYH/bnQt17ha3o4FpkPeoo0BjDFlpZarrdpuSfpM/nYf/vahn5L5LbPg5tDInAsS6j/g==" saltValue="Qot8QIqXIAzNIWaj/NoD5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BADAJOZ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0.98075117370892018</v>
      </c>
      <c r="C9" s="498">
        <f>IF(ISNUMBER(NºAsuntos!I9/NºAsuntos!G9),NºAsuntos!I9/NºAsuntos!G9," - ")</f>
        <v>1.6668262326471996</v>
      </c>
      <c r="D9" s="499">
        <f>IF(ISNUMBER('Resol  Asuntos'!D9/NºAsuntos!G9),'Resol  Asuntos'!D9/NºAsuntos!G9," - ")</f>
        <v>0.22738152225945429</v>
      </c>
      <c r="E9" s="500">
        <f>IF(ISNUMBER((NºAsuntos!C9+NºAsuntos!E9)/NºAsuntos!G9),(NºAsuntos!C9+NºAsuntos!E9)/NºAsuntos!G9," - ")</f>
        <v>2.7601723312589757</v>
      </c>
      <c r="G9" s="523"/>
    </row>
    <row r="10" spans="1:7">
      <c r="A10" s="450" t="str">
        <f>Datos!A10</f>
        <v>Jdos. Violencia contra la mujer</v>
      </c>
      <c r="B10" s="497">
        <f>IF(ISNUMBER(NºAsuntos!G10/NºAsuntos!E10),NºAsuntos!G10/NºAsuntos!E10," - ")</f>
        <v>1.375</v>
      </c>
      <c r="C10" s="498">
        <f>IF(ISNUMBER(NºAsuntos!I10/NºAsuntos!G10),NºAsuntos!I10/NºAsuntos!G10," - ")</f>
        <v>1.5151515151515151</v>
      </c>
      <c r="D10" s="499">
        <f>IF(ISNUMBER('Resol  Asuntos'!D10/NºAsuntos!G10),'Resol  Asuntos'!D10/NºAsuntos!G10," - ")</f>
        <v>0.33333333333333331</v>
      </c>
      <c r="E10" s="500">
        <f>IF(ISNUMBER((NºAsuntos!C10+NºAsuntos!E10)/NºAsuntos!G10),(NºAsuntos!C10+NºAsuntos!E10)/NºAsuntos!G10," - ")</f>
        <v>2.5151515151515151</v>
      </c>
      <c r="G10" s="523"/>
    </row>
    <row r="11" spans="1:7">
      <c r="A11" s="450" t="str">
        <f>Datos!A11</f>
        <v xml:space="preserve">Jdos. Familia                                   </v>
      </c>
      <c r="B11" s="497">
        <f>IF(ISNUMBER(NºAsuntos!G11/NºAsuntos!E11),NºAsuntos!G11/NºAsuntos!E11," - ")</f>
        <v>1.1474926253687316</v>
      </c>
      <c r="C11" s="498">
        <f>IF(ISNUMBER(NºAsuntos!I11/NºAsuntos!G11),NºAsuntos!I11/NºAsuntos!G11," - ")</f>
        <v>1.4215938303341902</v>
      </c>
      <c r="D11" s="499">
        <f>IF(ISNUMBER('Resol  Asuntos'!D11/NºAsuntos!G11),'Resol  Asuntos'!D11/NºAsuntos!G11," - ")</f>
        <v>0.46786632390745503</v>
      </c>
      <c r="E11" s="500">
        <f>IF(ISNUMBER((NºAsuntos!C11+NºAsuntos!E11)/NºAsuntos!G11),(NºAsuntos!C11+NºAsuntos!E11)/NºAsuntos!G11," - ")</f>
        <v>2.4087403598971724</v>
      </c>
      <c r="G11" s="523"/>
    </row>
    <row r="12" spans="1:7">
      <c r="A12" s="450" t="str">
        <f>Datos!A12</f>
        <v xml:space="preserve">Jdos. 1ª Instª. e Instr.                        </v>
      </c>
      <c r="B12" s="497">
        <f>IF(ISNUMBER(NºAsuntos!G12/NºAsuntos!E12),NºAsuntos!G12/NºAsuntos!E12," - ")</f>
        <v>1</v>
      </c>
      <c r="C12" s="498">
        <f>IF(ISNUMBER(NºAsuntos!I12/NºAsuntos!G12),NºAsuntos!I12/NºAsuntos!G12," - ")</f>
        <v>3.3333333333333335</v>
      </c>
      <c r="D12" s="499">
        <f>IF(ISNUMBER('Resol  Asuntos'!D12/NºAsuntos!G12),'Resol  Asuntos'!D12/NºAsuntos!G12," - ")</f>
        <v>0</v>
      </c>
      <c r="E12" s="500">
        <f>IF(ISNUMBER((NºAsuntos!C12+NºAsuntos!E12)/NºAsuntos!G12),(NºAsuntos!C12+NºAsuntos!E12)/NºAsuntos!G12," - ")</f>
        <v>4.333333333333333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1.0072115384615385</v>
      </c>
      <c r="C14" s="1156">
        <f>IF(ISNUMBER(NºAsuntos!I14/NºAsuntos!G14),NºAsuntos!I14/NºAsuntos!G14," - ")</f>
        <v>1.6288782816229117</v>
      </c>
      <c r="D14" s="1157">
        <f>IF(ISNUMBER('Resol  Asuntos'!D14/NºAsuntos!G14),'Resol  Asuntos'!D14/NºAsuntos!G14," - ")</f>
        <v>0.26571201272871919</v>
      </c>
      <c r="E14" s="1158">
        <f>IF(ISNUMBER((NºAsuntos!C14+NºAsuntos!E14)/NºAsuntos!G14),(NºAsuntos!C14+NºAsuntos!E14)/NºAsuntos!G14," - ")</f>
        <v>2.7044550517104216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1.0390279823269515</v>
      </c>
      <c r="C16" s="498">
        <f>IF(ISNUMBER(NºAsuntos!I16/NºAsuntos!G16),NºAsuntos!I16/NºAsuntos!G16," - ")</f>
        <v>0.43373493975903615</v>
      </c>
      <c r="D16" s="499">
        <f>IF(ISNUMBER('Resol  Asuntos'!D16/NºAsuntos!G16),'Resol  Asuntos'!D16/NºAsuntos!G16," - ")</f>
        <v>0.13217576187101346</v>
      </c>
      <c r="E16" s="500">
        <f>IF(ISNUMBER((NºAsuntos!C16+NºAsuntos!E16)/NºAsuntos!G16),(NºAsuntos!C16+NºAsuntos!E16)/NºAsuntos!G16," - ")</f>
        <v>1.4192062367115521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0.94835680751173712</v>
      </c>
      <c r="C18" s="498">
        <f>IF(ISNUMBER(NºAsuntos!I18/NºAsuntos!G18),NºAsuntos!I18/NºAsuntos!G18," - ")</f>
        <v>0.32673267326732675</v>
      </c>
      <c r="D18" s="499">
        <f>IF(ISNUMBER('Resol  Asuntos'!D18/NºAsuntos!G18),'Resol  Asuntos'!D18/NºAsuntos!G18," - ")</f>
        <v>0.16336633663366337</v>
      </c>
      <c r="E18" s="500">
        <f>IF(ISNUMBER((NºAsuntos!C18+NºAsuntos!E18)/NºAsuntos!G18),(NºAsuntos!C18+NºAsuntos!E18)/NºAsuntos!G18," - ")</f>
        <v>1.3267326732673268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1.0324342779105498</v>
      </c>
      <c r="C23" s="1156">
        <f>IF(ISNUMBER(NºAsuntos!I23/NºAsuntos!G23),NºAsuntos!I23/NºAsuntos!G23," - ")</f>
        <v>0.42658730158730157</v>
      </c>
      <c r="D23" s="1159">
        <f>IF(ISNUMBER('Resol  Asuntos'!D23/NºAsuntos!G23),'Resol  Asuntos'!D23/NºAsuntos!G23," - ")</f>
        <v>0.13425925925925927</v>
      </c>
      <c r="E23" s="1158">
        <f>IF(ISNUMBER((NºAsuntos!C23+NºAsuntos!E23)/NºAsuntos!G23),(NºAsuntos!C23+NºAsuntos!E23)/NºAsuntos!G23," - ")</f>
        <v>1.4130291005291005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1.0208294930875577</v>
      </c>
      <c r="C31" s="1099">
        <f>IF(ISNUMBER(NºAsuntos!I31/NºAsuntos!G31),NºAsuntos!I31/NºAsuntos!G31," - ")</f>
        <v>0.97237269772481039</v>
      </c>
      <c r="D31" s="1100">
        <f>IF(ISNUMBER('Resol  Asuntos'!D31/NºAsuntos!G31),'Resol  Asuntos'!D31/NºAsuntos!G31," - ")</f>
        <v>0.19393282773564463</v>
      </c>
      <c r="E31" s="1101">
        <f>IF(ISNUMBER((NºAsuntos!C31+NºAsuntos!E31)/NºAsuntos!G31),(NºAsuntos!C31+NºAsuntos!E31)/NºAsuntos!G31," - ")</f>
        <v>1.9992777175875767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x8sD0KQs0HhzqZc6/MP98KllQ1Wn6iATpZsenh29Hz2fBs1cP75L1pOyS0ksIc7kJu7jIGJTJW0YgXd3yjXCw==" saltValue="rKQUU3rgZnyPSphtzxFz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BADAJOZ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1 al 1</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317</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578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561</v>
      </c>
      <c r="Y9" s="374">
        <f>SUM(W9:X9)</f>
        <v>561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7230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475</v>
      </c>
      <c r="AJ9" s="243" t="str">
        <f>IF(ISNUMBER(Datos!BW9),Datos!BW9," - ")</f>
        <v xml:space="preserve"> - </v>
      </c>
      <c r="AK9" s="242" t="str">
        <f>IF(ISNUMBER(Datos!BX9),Datos!BX9," - ")</f>
        <v xml:space="preserve"> - </v>
      </c>
      <c r="AL9" s="266">
        <f>IF(ISNUMBER(NºAsuntos!G9/NºAsuntos!E9),NºAsuntos!G9/NºAsuntos!E9," - ")</f>
        <v>0.98075117370892018</v>
      </c>
      <c r="AM9" s="284">
        <f>IF(ISNUMBER(((NºAsuntos!I9/NºAsuntos!G9)*11)/factor_trimestre),((NºAsuntos!I9/NºAsuntos!G9)*11)/factor_trimestre," - ")</f>
        <v>5.0004786979415989</v>
      </c>
      <c r="AN9" s="267">
        <f>IF(ISNUMBER('Resol  Asuntos'!D9/NºAsuntos!G9),'Resol  Asuntos'!D9/NºAsuntos!G9," - ")</f>
        <v>0.22738152225945429</v>
      </c>
      <c r="AO9" s="268">
        <f>IF(ISNUMBER((NºAsuntos!C9+NºAsuntos!E9)/NºAsuntos!G9),(NºAsuntos!C9+NºAsuntos!E9)/NºAsuntos!G9," - ")</f>
        <v>2.7601723312589757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59</v>
      </c>
      <c r="G10" s="373">
        <f>IF(ISNUMBER(Datos!I10),Datos!I10," - ")</f>
        <v>59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15</v>
      </c>
      <c r="Y10" s="374">
        <f t="shared" ref="Y10:Y13" si="0">SUM(W10:X10)</f>
        <v>48</v>
      </c>
      <c r="Z10" s="375" t="str">
        <f>IF(ISNUMBER(Datos!CC10),Datos!CC10," - ")</f>
        <v xml:space="preserve"> - </v>
      </c>
      <c r="AA10" s="372">
        <f>IF(ISNUMBER(Datos!L10),Datos!L10,"-")</f>
        <v>50</v>
      </c>
      <c r="AB10" s="374">
        <f>IF(ISNUMBER(Datos!R10),Datos!R10," - ")</f>
        <v>69</v>
      </c>
      <c r="AC10" s="374">
        <f t="shared" ref="AC10:AC13" si="1">IF(ISNUMBER(AA10+AB10),AA10+AB10," - ")</f>
        <v>119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1.375</v>
      </c>
      <c r="AM10" s="284">
        <f>IF(ISNUMBER(((NºAsuntos!I10/NºAsuntos!G10)*11)/factor_trimestre),((NºAsuntos!I10/NºAsuntos!G10)*11)/factor_trimestre," - ")</f>
        <v>4.5454545454545459</v>
      </c>
      <c r="AN10" s="267">
        <f>IF(ISNUMBER('Resol  Asuntos'!D10/NºAsuntos!G10),'Resol  Asuntos'!D10/NºAsuntos!G10," - ")</f>
        <v>0.33333333333333331</v>
      </c>
      <c r="AO10" s="268">
        <f>IF(ISNUMBER((NºAsuntos!C10+NºAsuntos!E10)/NºAsuntos!G10),(NºAsuntos!C10+NºAsuntos!E10)/NºAsuntos!G10," - ")</f>
        <v>2.5151515151515151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45</v>
      </c>
      <c r="Y11" s="374">
        <f t="shared" si="0"/>
        <v>45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407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182</v>
      </c>
      <c r="AJ11" s="245" t="str">
        <f>IF(ISNUMBER(Datos!BW11),Datos!BW11," - ")</f>
        <v xml:space="preserve"> - </v>
      </c>
      <c r="AK11" s="246" t="str">
        <f>IF(ISNUMBER(Datos!BX11),Datos!BX11," - ")</f>
        <v xml:space="preserve"> - </v>
      </c>
      <c r="AL11" s="266">
        <f>IF(ISNUMBER(NºAsuntos!G11/NºAsuntos!E11),NºAsuntos!G11/NºAsuntos!E11," - ")</f>
        <v>1.1474926253687316</v>
      </c>
      <c r="AM11" s="284">
        <f>IF(ISNUMBER(((NºAsuntos!I11/NºAsuntos!G11)*11)/factor_trimestre),((NºAsuntos!I11/NºAsuntos!G11)*11)/factor_trimestre," - ")</f>
        <v>4.2647814910025712</v>
      </c>
      <c r="AN11" s="267">
        <f>IF(ISNUMBER('Resol  Asuntos'!D11/NºAsuntos!G11),'Resol  Asuntos'!D11/NºAsuntos!G11," - ")</f>
        <v>0.46786632390745503</v>
      </c>
      <c r="AO11" s="268">
        <f>IF(ISNUMBER((NºAsuntos!C11+NºAsuntos!E11)/NºAsuntos!G11),(NºAsuntos!C11+NºAsuntos!E11)/NºAsuntos!G11," - ")</f>
        <v>2.4087403598971724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10.000000000000002</v>
      </c>
      <c r="AN12" s="267">
        <f>IF(ISNUMBER('Resol  Asuntos'!D12/NºAsuntos!G12),'Resol  Asuntos'!D12/NºAsuntos!G12," - ")</f>
        <v>0</v>
      </c>
      <c r="AO12" s="268">
        <f>IF(ISNUMBER((NºAsuntos!C12+NºAsuntos!E12)/NºAsuntos!G12),(NºAsuntos!C12+NºAsuntos!E12)/NºAsuntos!G12," - ")</f>
        <v>4.333333333333333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59</v>
      </c>
      <c r="G14" s="1163">
        <f t="shared" si="5"/>
        <v>59</v>
      </c>
      <c r="H14" s="1162">
        <f t="shared" si="5"/>
        <v>0</v>
      </c>
      <c r="I14" s="1164">
        <f t="shared" si="5"/>
        <v>0</v>
      </c>
      <c r="J14" s="1164">
        <f t="shared" si="5"/>
        <v>0</v>
      </c>
      <c r="K14" s="1164">
        <f t="shared" si="5"/>
        <v>0</v>
      </c>
      <c r="L14" s="1164">
        <f t="shared" si="5"/>
        <v>633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638</v>
      </c>
      <c r="Y14" s="1165">
        <f t="shared" si="6"/>
        <v>671</v>
      </c>
      <c r="Z14" s="1165">
        <f t="shared" si="6"/>
        <v>0</v>
      </c>
      <c r="AA14" s="1165">
        <f t="shared" si="6"/>
        <v>50</v>
      </c>
      <c r="AB14" s="1165">
        <f t="shared" si="6"/>
        <v>7805</v>
      </c>
      <c r="AC14" s="1165">
        <f t="shared" si="6"/>
        <v>119</v>
      </c>
      <c r="AD14" s="1165">
        <f t="shared" si="6"/>
        <v>0</v>
      </c>
      <c r="AE14" s="1169">
        <f t="shared" si="6"/>
        <v>0</v>
      </c>
      <c r="AF14" s="1162">
        <f t="shared" si="6"/>
        <v>0</v>
      </c>
      <c r="AG14" s="1170">
        <f t="shared" si="6"/>
        <v>0</v>
      </c>
      <c r="AH14" s="1167">
        <f t="shared" si="6"/>
        <v>0</v>
      </c>
      <c r="AI14" s="1162">
        <f t="shared" si="6"/>
        <v>668</v>
      </c>
      <c r="AJ14" s="1164">
        <f t="shared" si="6"/>
        <v>0</v>
      </c>
      <c r="AK14" s="1167">
        <f>SUBTOTAL(9,AK9:AK13)</f>
        <v>0</v>
      </c>
      <c r="AL14" s="1171">
        <f>IF(ISNUMBER(NºAsuntos!G14/NºAsuntos!E14),NºAsuntos!G14/NºAsuntos!E14," - ")</f>
        <v>1.0072115384615385</v>
      </c>
      <c r="AM14" s="1171">
        <f>IF(ISNUMBER(((NºAsuntos!I14/NºAsuntos!G14)*11)/factor_trimestre),((NºAsuntos!I14/NºAsuntos!G14)*11)/factor_trimestre," - ")</f>
        <v>4.8866348448687358</v>
      </c>
      <c r="AN14" s="1172">
        <f>IF(ISNUMBER('Resol  Asuntos'!D14/NºAsuntos!G14),'Resol  Asuntos'!D14/NºAsuntos!G14," - ")</f>
        <v>0.26571201272871919</v>
      </c>
      <c r="AO14" s="1173">
        <f>IF(ISNUMBER((NºAsuntos!C14+NºAsuntos!E14)/NºAsuntos!G14),(NºAsuntos!C14+NºAsuntos!E14)/NºAsuntos!G14," - ")</f>
        <v>2.7044550517104216</v>
      </c>
      <c r="AP14" s="1174" t="str">
        <f t="shared" si="2"/>
        <v xml:space="preserve"> - </v>
      </c>
      <c r="AQ14" s="1174">
        <f>IF(ISNUMBER((H14-W14+K14)/(F14)),(H14-W14+K14)/(F14)," - ")</f>
        <v>-0.55932203389830504</v>
      </c>
      <c r="AR14" s="1175">
        <f>IF(ISNUMBER((Datos!P14-Datos!Q14)/(Datos!R14-Datos!P14+Datos!Q14)),(Datos!P14-Datos!Q14)/(Datos!R14-Datos!P14+Datos!Q14)," - ")</f>
        <v>-6.4020486555697821E-4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1330</v>
      </c>
      <c r="G16" s="373">
        <f>IF(ISNUMBER(IF(D_I="SI",Datos!I16,Datos!I16+Datos!AC16)),IF(D_I="SI",Datos!I16,Datos!I16+Datos!AC16)," - ")</f>
        <v>1289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2822</v>
      </c>
      <c r="X16" s="240">
        <f>IF(ISNUMBER(Datos!Q16),Datos!Q16," - ")</f>
        <v>140</v>
      </c>
      <c r="Y16" s="374">
        <f>SUM(W16)</f>
        <v>2822</v>
      </c>
      <c r="Z16" s="375" t="str">
        <f>IF(ISNUMBER(Datos!CC16),Datos!CC16," - ")</f>
        <v xml:space="preserve"> - </v>
      </c>
      <c r="AA16" s="372">
        <f>IF(ISNUMBER(IF(D_I="SI",Datos!L16,Datos!L16+Datos!AF16)),IF(D_I="SI",Datos!L16,Datos!L16+Datos!AF16)," - ")</f>
        <v>1224</v>
      </c>
      <c r="AB16" s="374">
        <f>IF(ISNUMBER(Datos!R16),Datos!R16," - ")</f>
        <v>230</v>
      </c>
      <c r="AC16" s="374">
        <f t="shared" ref="AC16:AC22" si="8">IF(ISNUMBER(AA16+AB16),AA16+AB16," - ")</f>
        <v>1454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373</v>
      </c>
      <c r="AJ16" s="245" t="str">
        <f>IF(ISNUMBER(Datos!BW16),Datos!BW16," - ")</f>
        <v xml:space="preserve"> - </v>
      </c>
      <c r="AK16" s="246" t="str">
        <f>IF(ISNUMBER(Datos!BX16),Datos!BX16," - ")</f>
        <v xml:space="preserve"> - </v>
      </c>
      <c r="AL16" s="266">
        <f>IF(ISNUMBER(NºAsuntos!G16/NºAsuntos!E16),NºAsuntos!G16/NºAsuntos!E16," - ")</f>
        <v>1.0390279823269515</v>
      </c>
      <c r="AM16" s="284">
        <f>IF(ISNUMBER(((NºAsuntos!I16/NºAsuntos!G16)*11)/factor_trimestre),((NºAsuntos!I16/NºAsuntos!G16)*11)/factor_trimestre," - ")</f>
        <v>1.3012048192771084</v>
      </c>
      <c r="AN16" s="267">
        <f>IF(ISNUMBER('Resol  Asuntos'!D16/NºAsuntos!G16),'Resol  Asuntos'!D16/NºAsuntos!G16," - ")</f>
        <v>0.13217576187101346</v>
      </c>
      <c r="AO16" s="268">
        <f>IF(ISNUMBER((NºAsuntos!C16+NºAsuntos!E16)/NºAsuntos!G16),(NºAsuntos!C16+NºAsuntos!E16)/NºAsuntos!G16," - ")</f>
        <v>1.4192062367115521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202</v>
      </c>
      <c r="X18" s="240">
        <f>IF(ISNUMBER(Datos!Q18),Datos!Q18," - ")</f>
        <v>4</v>
      </c>
      <c r="Y18" s="374">
        <f t="shared" si="9"/>
        <v>206</v>
      </c>
      <c r="Z18" s="375" t="str">
        <f>IF(ISNUMBER(Datos!CC18),Datos!CC18," - ")</f>
        <v xml:space="preserve"> - </v>
      </c>
      <c r="AA18" s="372">
        <f>IF(ISNUMBER(Datos!L18),Datos!L18,"-")</f>
        <v>66</v>
      </c>
      <c r="AB18" s="374">
        <f>IF(ISNUMBER(Datos!R18),Datos!R18," - ")</f>
        <v>20</v>
      </c>
      <c r="AC18" s="374">
        <f t="shared" si="8"/>
        <v>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0.94835680751173712</v>
      </c>
      <c r="AM18" s="284">
        <f>IF(ISNUMBER(((NºAsuntos!I18/NºAsuntos!G18)*11)/factor_trimestre),((NºAsuntos!I18/NºAsuntos!G18)*11)/factor_trimestre," - ")</f>
        <v>0.98019801980198029</v>
      </c>
      <c r="AN18" s="267">
        <f>IF(ISNUMBER('Resol  Asuntos'!D18/NºAsuntos!G18),'Resol  Asuntos'!D18/NºAsuntos!G18," - ")</f>
        <v>0.16336633663366337</v>
      </c>
      <c r="AO18" s="268">
        <f>IF(ISNUMBER((NºAsuntos!C18+NºAsuntos!E18)/NºAsuntos!G18),(NºAsuntos!C18+NºAsuntos!E18)/NºAsuntos!G18," - ")</f>
        <v>1.3267326732673268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1330</v>
      </c>
      <c r="G23" s="1163">
        <f>SUBTOTAL(9,G16:G22)</f>
        <v>1344</v>
      </c>
      <c r="H23" s="1162">
        <f t="shared" ref="H23:O23" si="13">SUBTOTAL(9,H15:H22)</f>
        <v>0</v>
      </c>
      <c r="I23" s="1164">
        <f t="shared" si="13"/>
        <v>0</v>
      </c>
      <c r="J23" s="1164">
        <f t="shared" si="13"/>
        <v>0</v>
      </c>
      <c r="K23" s="1164">
        <f t="shared" si="13"/>
        <v>0</v>
      </c>
      <c r="L23" s="1164">
        <f t="shared" si="13"/>
        <v>166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3024</v>
      </c>
      <c r="X23" s="1164">
        <f t="shared" si="14"/>
        <v>144</v>
      </c>
      <c r="Y23" s="1165">
        <f t="shared" si="14"/>
        <v>3028</v>
      </c>
      <c r="Z23" s="1165">
        <f t="shared" si="14"/>
        <v>0</v>
      </c>
      <c r="AA23" s="1165">
        <f t="shared" si="14"/>
        <v>1290</v>
      </c>
      <c r="AB23" s="1165">
        <f t="shared" si="14"/>
        <v>250</v>
      </c>
      <c r="AC23" s="1165">
        <f t="shared" si="14"/>
        <v>1540</v>
      </c>
      <c r="AD23" s="1165">
        <f t="shared" si="14"/>
        <v>0</v>
      </c>
      <c r="AE23" s="1169">
        <f t="shared" si="14"/>
        <v>0</v>
      </c>
      <c r="AF23" s="1162">
        <f t="shared" si="14"/>
        <v>0</v>
      </c>
      <c r="AG23" s="1170">
        <f t="shared" si="14"/>
        <v>0</v>
      </c>
      <c r="AH23" s="1167">
        <f t="shared" si="14"/>
        <v>0</v>
      </c>
      <c r="AI23" s="1162">
        <f t="shared" si="14"/>
        <v>406</v>
      </c>
      <c r="AJ23" s="1164">
        <f t="shared" si="14"/>
        <v>0</v>
      </c>
      <c r="AK23" s="1167">
        <f t="shared" si="14"/>
        <v>0</v>
      </c>
      <c r="AL23" s="1171">
        <f>IF(ISNUMBER(NºAsuntos!G23/NºAsuntos!E23),NºAsuntos!G23/NºAsuntos!E23," - ")</f>
        <v>1.0324342779105498</v>
      </c>
      <c r="AM23" s="1171">
        <f>IF(ISNUMBER(((NºAsuntos!I23/NºAsuntos!G23)*11)/factor_trimestre),((NºAsuntos!I23/NºAsuntos!G23)*11)/factor_trimestre," - ")</f>
        <v>1.2797619047619047</v>
      </c>
      <c r="AN23" s="1172">
        <f>IF(ISNUMBER('Resol  Asuntos'!D23/NºAsuntos!G23),'Resol  Asuntos'!D23/NºAsuntos!G23," - ")</f>
        <v>0.13425925925925927</v>
      </c>
      <c r="AO23" s="1173">
        <f>IF(ISNUMBER((NºAsuntos!C23+NºAsuntos!E23)/NºAsuntos!G23),(NºAsuntos!C23+NºAsuntos!E23)/NºAsuntos!G23," - ")</f>
        <v>1.4130291005291005</v>
      </c>
      <c r="AP23" s="1174" t="str">
        <f t="shared" si="2"/>
        <v xml:space="preserve"> - </v>
      </c>
      <c r="AQ23" s="1174">
        <f>IF(ISNUMBER((H23-W23+K23)/(F23)),(H23-W23+K23)/(F23)," - ")</f>
        <v>-2.2736842105263158</v>
      </c>
      <c r="AR23" s="1175">
        <f>IF(ISNUMBER((Datos!P23-Datos!Q23)/(Datos!R23-Datos!P23+Datos!Q23)),(Datos!P23-Datos!Q23)/(Datos!R23-Datos!P23+Datos!Q23)," - ")</f>
        <v>9.6491228070175433E-2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1389</v>
      </c>
      <c r="G31" s="1118">
        <f t="shared" si="20"/>
        <v>1403</v>
      </c>
      <c r="H31" s="1117">
        <f t="shared" si="20"/>
        <v>0</v>
      </c>
      <c r="I31" s="1119">
        <f t="shared" si="20"/>
        <v>0</v>
      </c>
      <c r="J31" s="1119">
        <f t="shared" si="20"/>
        <v>0</v>
      </c>
      <c r="K31" s="1180">
        <f t="shared" si="20"/>
        <v>0</v>
      </c>
      <c r="L31" s="1119">
        <f t="shared" si="20"/>
        <v>799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3057</v>
      </c>
      <c r="X31" s="1118">
        <f t="shared" si="21"/>
        <v>782</v>
      </c>
      <c r="Y31" s="1125">
        <f t="shared" si="21"/>
        <v>3699</v>
      </c>
      <c r="Z31" s="1125">
        <f t="shared" si="21"/>
        <v>0</v>
      </c>
      <c r="AA31" s="1125">
        <f t="shared" si="21"/>
        <v>1340</v>
      </c>
      <c r="AB31" s="1125">
        <f t="shared" si="21"/>
        <v>8055</v>
      </c>
      <c r="AC31" s="1125">
        <f t="shared" si="21"/>
        <v>1659</v>
      </c>
      <c r="AD31" s="1125">
        <f t="shared" si="21"/>
        <v>0</v>
      </c>
      <c r="AE31" s="1127">
        <f t="shared" si="21"/>
        <v>0</v>
      </c>
      <c r="AF31" s="1128">
        <f t="shared" si="21"/>
        <v>0</v>
      </c>
      <c r="AG31" s="1129">
        <f t="shared" si="21"/>
        <v>0</v>
      </c>
      <c r="AH31" s="1127">
        <f t="shared" si="21"/>
        <v>0</v>
      </c>
      <c r="AI31" s="1117">
        <f t="shared" si="21"/>
        <v>1074</v>
      </c>
      <c r="AJ31" s="1117">
        <f t="shared" si="21"/>
        <v>0</v>
      </c>
      <c r="AK31" s="1127">
        <f t="shared" si="21"/>
        <v>0</v>
      </c>
      <c r="AL31" s="1183">
        <f>IF(ISNUMBER(NºAsuntos!G31/NºAsuntos!E31),NºAsuntos!G31/NºAsuntos!E31," - ")</f>
        <v>1.0208294930875577</v>
      </c>
      <c r="AM31" s="1184">
        <f>IF(ISNUMBER(((NºAsuntos!I31/NºAsuntos!G31)*11)/factor_trimestre),((NºAsuntos!I31/NºAsuntos!G31)*11)/factor_trimestre," - ")</f>
        <v>2.9171180931744312</v>
      </c>
      <c r="AN31" s="1184">
        <f>IF(ISNUMBER('Resol  Asuntos'!D31/NºAsuntos!G31),'Resol  Asuntos'!D31/NºAsuntos!G31," - ")</f>
        <v>0.19393282773564463</v>
      </c>
      <c r="AO31" s="1185">
        <f>IF(ISNUMBER((NºAsuntos!C31+NºAsuntos!E31)/NºAsuntos!G31),(NºAsuntos!C31+NºAsuntos!E31)/NºAsuntos!G31," - ")</f>
        <v>1.9992777175875767</v>
      </c>
      <c r="AP31" s="1186" t="str">
        <f t="shared" si="2"/>
        <v xml:space="preserve"> - </v>
      </c>
      <c r="AQ31" s="1187">
        <f>IF(OR(ISNUMBER(FIND("01",Criterios!A8,1)),ISNUMBER(FIND("02",Criterios!A8,1)),ISNUMBER(FIND("03",Criterios!A8,1)),ISNUMBER(FIND("04",Criterios!A8,1))),(I31-W31+K31)/(F31-K31),(H31-W31+K31)/(F31-K31))</f>
        <v>-2.2008639308855291</v>
      </c>
      <c r="AR31" s="1188">
        <f>IF(ISNUMBER((Datos!P31-Datos!Q31)/(Datos!R31-Datos!P31+Datos!Q31)),(Datos!P31-Datos!Q31)/(Datos!R31-Datos!P31+Datos!Q31)," - ")</f>
        <v>2.1149539686489177E-3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2.4542599318054101</v>
      </c>
      <c r="F33" s="276">
        <f>IF(ISNUMBER(STDEV(F8:F30)),STDEV(F8:F30),"-")</f>
        <v>672.09344588382942</v>
      </c>
      <c r="G33" s="277">
        <f>IF(ISNUMBER(STDEV(G8:G30)),STDEV(G8:G30),"-")</f>
        <v>626.23728957731578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1403.0383526645376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246.92724974507504</v>
      </c>
      <c r="AJ33" s="276">
        <f t="shared" si="25"/>
        <v>0</v>
      </c>
      <c r="AK33" s="278">
        <f t="shared" si="25"/>
        <v>0</v>
      </c>
      <c r="AL33" s="273">
        <f t="shared" si="25"/>
        <v>0.13778602206952439</v>
      </c>
      <c r="AM33" s="274">
        <f t="shared" si="25"/>
        <v>2.9748649402063854</v>
      </c>
      <c r="AN33" s="274">
        <f t="shared" si="25"/>
        <v>0.14289707936378054</v>
      </c>
      <c r="AO33" s="275">
        <f t="shared" si="25"/>
        <v>1.0034773334291294</v>
      </c>
      <c r="AP33" s="317" t="str">
        <f t="shared" si="25"/>
        <v>-</v>
      </c>
      <c r="AQ33" s="318">
        <f t="shared" si="25"/>
        <v>1.2122371205033962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j5nsmouWKFT2f0tQ1RkNMGRCZZX54y/veTZZqUBTdPMRuOFV+RVRexfZ8f1TcF0xW1+MXgDI0dxHMpQVRi/cw==" saltValue="SHN6oLZfpOyvQiWtsinQ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BADAJOZ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-1.859504132231405E-2</v>
      </c>
      <c r="I9" s="395">
        <f>IF(ISNUMBER((Tasas!C9-Datos!BE9)/Datos!BE9),(Tasas!C9-Datos!BE9)/Datos!BE9," - ")</f>
        <v>-5.4061946164034543E-2</v>
      </c>
      <c r="J9" s="394">
        <f>IF(ISNUMBER((Tasas!D9-Datos!BF9)/Datos!BF9),(Tasas!D9-Datos!BF9)/Datos!BF9," - ")</f>
        <v>-0.48756931772387208</v>
      </c>
      <c r="K9" s="396">
        <f>IF(ISNUMBER((Tasas!E9-Datos!BG9)/Datos!BG9),(Tasas!E9-Datos!BG9)/Datos!BG9," - ")</f>
        <v>-6.9361144039871642E-4</v>
      </c>
      <c r="M9" t="e">
        <f>IF(Monitorios="SI",Datos!CE9,0)</f>
        <v>#REF!</v>
      </c>
      <c r="N9" t="e">
        <f>IF(Monitorios="SI",Datos!CF9,0)</f>
        <v>#REF!</v>
      </c>
      <c r="O9" t="e">
        <f>IF(Monitorios="SI",Datos!CG9,0)</f>
        <v>#REF!</v>
      </c>
      <c r="P9" t="e">
        <f>IF(Monitorios="SI",Datos!CH9,0)</f>
        <v>#REF!</v>
      </c>
      <c r="Q9">
        <f>IF(J_V="SI",0,Datos!AG9)</f>
        <v>109</v>
      </c>
      <c r="R9">
        <f>IF(J_V="SI",0,Datos!AH9)</f>
        <v>217</v>
      </c>
      <c r="S9">
        <f>IF(J_V="SI",0,Datos!AI9)</f>
        <v>163</v>
      </c>
      <c r="T9">
        <f>IF(J_V="SI",0,Datos!AJ9)</f>
        <v>163</v>
      </c>
    </row>
    <row r="10" spans="2:20" ht="14.25">
      <c r="B10" s="300" t="s">
        <v>317</v>
      </c>
      <c r="C10" s="7" t="str">
        <f>Datos!A10</f>
        <v>Jdos. Violencia contra la mujer</v>
      </c>
      <c r="D10" s="397">
        <f>IF(ISNUMBER((Datos!I10-Datos!S10)/Datos!S10),(Datos!I10-Datos!S10)/Datos!S10," - ")</f>
        <v>3.5087719298245612E-2</v>
      </c>
      <c r="E10" s="393">
        <f>IF(ISNUMBER((Datos!J10-Datos!T10)/Datos!T10),(Datos!J10-Datos!T10)/Datos!T10," - ")</f>
        <v>4.3478260869565216E-2</v>
      </c>
      <c r="F10" s="393">
        <f>IF(ISNUMBER((Datos!K10-Datos!U10)/Datos!U10),(Datos!K10-Datos!U10)/Datos!U10," - ")</f>
        <v>-0.13157894736842105</v>
      </c>
      <c r="G10" s="394">
        <f>IF(ISNUMBER((Datos!L10-Datos!V10)/Datos!V10),(Datos!L10-Datos!V10)/Datos!V10," - ")</f>
        <v>0.19047619047619047</v>
      </c>
      <c r="H10" s="244">
        <f>IF(ISNUMBER((Datos!M10-Datos!W10)/Datos!W10),(Datos!M10-Datos!W10)/Datos!W10," - ")</f>
        <v>-8.3333333333333329E-2</v>
      </c>
      <c r="I10" s="395">
        <f>IF(ISNUMBER((Tasas!C10-Datos!BE10)/Datos!BE10),(Tasas!C10-Datos!BE10)/Datos!BE10," - ")</f>
        <v>0.37085137085137071</v>
      </c>
      <c r="J10" s="394">
        <f>IF(ISNUMBER((Tasas!D10-Datos!BF10)/Datos!BF10),(Tasas!D10-Datos!BF10)/Datos!BF10," - ")</f>
        <v>5.5555555555555552E-2</v>
      </c>
      <c r="K10" s="396">
        <f>IF(ISNUMBER((Tasas!E10-Datos!BG10)/Datos!BG10),(Tasas!E10-Datos!BG10)/Datos!BG10," - ")</f>
        <v>0.19469696969696976</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-5.4644808743169399E-3</v>
      </c>
      <c r="I11" s="395">
        <f>IF(ISNUMBER((Tasas!C11-Datos!BE11)/Datos!BE11),(Tasas!C11-Datos!BE11)/Datos!BE11," - ")</f>
        <v>-9.5154454900409843E-2</v>
      </c>
      <c r="J11" s="394">
        <f>IF(ISNUMBER((Tasas!D11-Datos!BF11)/Datos!BF11),(Tasas!D11-Datos!BF11)/Datos!BF11," - ")</f>
        <v>0.41028277634961452</v>
      </c>
      <c r="K11" s="396">
        <f>IF(ISNUMBER((Tasas!E11-Datos!BG11)/Datos!BG11),(Tasas!E11-Datos!BG11)/Datos!BG11," - ")</f>
        <v>-5.8807007521660334E-2</v>
      </c>
      <c r="M11" t="e">
        <f>IF(Monitorios="SI",Datos!CE11,0)</f>
        <v>#REF!</v>
      </c>
      <c r="N11" t="e">
        <f>IF(Monitorios="SI",Datos!CF11,0)</f>
        <v>#REF!</v>
      </c>
      <c r="O11" t="e">
        <f>IF(Monitorios="SI",Datos!CG11,0)</f>
        <v>#REF!</v>
      </c>
      <c r="P11" t="e">
        <f>IF(Monitorios="SI",Datos!CH11,0)</f>
        <v>#REF!</v>
      </c>
      <c r="Q11">
        <f>IF(J_V="SI",0,Datos!AG11)</f>
        <v>26</v>
      </c>
      <c r="R11">
        <f>IF(J_V="SI",0,Datos!AH11)</f>
        <v>45</v>
      </c>
      <c r="S11">
        <f>IF(J_V="SI",0,Datos!AI11)</f>
        <v>40</v>
      </c>
      <c r="T11">
        <f>IF(J_V="SI",0,Datos!AJ11)</f>
        <v>31</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0.33333333333333337</v>
      </c>
      <c r="J12" s="394">
        <f>IF(ISNUMBER((Tasas!D12-Datos!BF12)/Datos!BF12),(Tasas!D12-Datos!BF12)/Datos!BF12," - ")</f>
        <v>-1</v>
      </c>
      <c r="K12" s="396">
        <f>IF(ISNUMBER((Tasas!E12-Datos!BG12)/Datos!BG12),(Tasas!E12-Datos!BG12)/Datos!BG12," - ")</f>
        <v>0.238095238095238</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-1.6200294550810016E-2</v>
      </c>
      <c r="I14" s="402">
        <f>IF(ISNUMBER((Tasas!C14-Datos!BE14)/Datos!BE14),(Tasas!C14-Datos!BE14)/Datos!BE14," - ")</f>
        <v>-5.5971846301308602E-2</v>
      </c>
      <c r="J14" s="400">
        <f>IF(ISNUMBER((Tasas!D14-Datos!BF14)/Datos!BF14),(Tasas!D14-Datos!BF14)/Datos!BF14," - ")</f>
        <v>-0.37457197676206516</v>
      </c>
      <c r="K14" s="403">
        <f>IF(ISNUMBER((Tasas!E14-Datos!BG14)/Datos!BG14),(Tasas!E14-Datos!BG14)/Datos!BG14," - ")</f>
        <v>-7.0548433817156884E-3</v>
      </c>
      <c r="M14" t="e">
        <f>IF(Monitorios="SI",Datos!CE14,0)</f>
        <v>#REF!</v>
      </c>
      <c r="N14" t="e">
        <f>IF(Monitorios="SI",Datos!CF14,0)</f>
        <v>#REF!</v>
      </c>
      <c r="O14" t="e">
        <f>IF(Monitorios="SI",Datos!CG14,0)</f>
        <v>#REF!</v>
      </c>
      <c r="P14" t="e">
        <f>IF(Monitorios="SI",Datos!CH14,0)</f>
        <v>#REF!</v>
      </c>
      <c r="Q14">
        <f>IF(J_V="SI",0,Datos!AG14)</f>
        <v>135</v>
      </c>
      <c r="R14">
        <f>IF(J_V="SI",0,Datos!AH14)</f>
        <v>262</v>
      </c>
      <c r="S14">
        <f>IF(J_V="SI",0,Datos!AI14)</f>
        <v>203</v>
      </c>
      <c r="T14">
        <f>IF(J_V="SI",0,Datos!AJ14)</f>
        <v>194</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-0.18054672600127145</v>
      </c>
      <c r="E16" s="393">
        <f>IF(ISNUMBER(
   IF(D_I="SI",(Datos!J16-Datos!T16)/Datos!T16,(Datos!J16+Datos!AD16-(Datos!T16+Datos!AL16))/(Datos!T16+Datos!AL16))
     ),IF(D_I="SI",(Datos!J16-Datos!T16)/Datos!T16,(Datos!J16+Datos!AD16-(Datos!T16+Datos!AL16))/(Datos!T16+Datos!AL16))," - ")</f>
        <v>0.19122807017543861</v>
      </c>
      <c r="F16" s="393">
        <f>IF(ISNUMBER(
   IF(D_I="SI",(Datos!K16-Datos!U16)/Datos!U16,(Datos!K16+Datos!AE16-(Datos!U16+Datos!AM16))/(Datos!U16+Datos!AM16))
     ),IF(D_I="SI",(Datos!K16-Datos!U16)/Datos!U16,(Datos!K16+Datos!AE16-(Datos!U16+Datos!AM16))/(Datos!U16+Datos!AM16))," - ")</f>
        <v>0.15183673469387754</v>
      </c>
      <c r="G16" s="394">
        <f>IF(ISNUMBER(
   IF(D_I="SI",(Datos!L16-Datos!V16)/Datos!V16,(Datos!L16+Datos!AF16-(Datos!V16+Datos!AN16))/(Datos!V16+Datos!AN16))
     ),IF(D_I="SI",(Datos!L16-Datos!V16)/Datos!V16,(Datos!L16+Datos!AF16-(Datos!V16+Datos!AN16))/(Datos!V16+Datos!AN16))," - ")</f>
        <v>-0.17129316181448884</v>
      </c>
      <c r="H16" s="244">
        <f>IF(ISNUMBER((Datos!M16-Datos!W16)/Datos!W16),(Datos!M16-Datos!W16)/Datos!W16," - ")</f>
        <v>6.8767908309455589E-2</v>
      </c>
      <c r="I16" s="395">
        <f>IF(ISNUMBER((Tasas!C16-Datos!BE16)/Datos!BE16),(Tasas!C16-Datos!BE16)/Datos!BE16," - ")</f>
        <v>-0.28053446011534289</v>
      </c>
      <c r="J16" s="394">
        <f>IF(ISNUMBER((Tasas!D16-Datos!BF16)/Datos!BF16),(Tasas!D16-Datos!BF16)/Datos!BF16," - ")</f>
        <v>-7.2118577123257879E-2</v>
      </c>
      <c r="K16" s="396">
        <f>IF(ISNUMBER((Tasas!E16-Datos!BG16)/Datos!BG16),(Tasas!E16-Datos!BG16)/Datos!BG16," - ")</f>
        <v>-9.7571949145262737E-2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0.61764705882352944</v>
      </c>
      <c r="E18" s="393">
        <f>IF(ISNUMBER(
   IF(D_I="SI",(Datos!J18-Datos!T18)/Datos!T18,(Datos!J18+Datos!AD18-(Datos!T18+Datos!AL18))/(Datos!T18+Datos!AL18))
     ),IF(D_I="SI",(Datos!J18-Datos!T18)/Datos!T18,(Datos!J18+Datos!AD18-(Datos!T18+Datos!AL18))/(Datos!T18+Datos!AL18))," - ")</f>
        <v>5.4455445544554455E-2</v>
      </c>
      <c r="F18" s="393">
        <f>IF(ISNUMBER(
   IF(D_I="SI",(Datos!K18-Datos!U18)/Datos!U18,(Datos!K18+Datos!AE18-(Datos!U18+Datos!AM18))/(Datos!U18+Datos!AM18))
     ),IF(D_I="SI",(Datos!K18-Datos!U18)/Datos!U18,(Datos!K18+Datos!AE18-(Datos!U18+Datos!AM18))/(Datos!U18+Datos!AM18))," - ")</f>
        <v>3.0612244897959183E-2</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-0.34</v>
      </c>
      <c r="I18" s="395">
        <f>IF(ISNUMBER((Tasas!C18-Datos!BE18)/Datos!BE18),(Tasas!C18-Datos!BE18)/Datos!BE18," - ")</f>
        <v>0.45544554455445552</v>
      </c>
      <c r="J18" s="394">
        <f>IF(ISNUMBER((Tasas!D18-Datos!BF18)/Datos!BF18),(Tasas!D18-Datos!BF18)/Datos!BF18," - ")</f>
        <v>-0.35960396039603959</v>
      </c>
      <c r="K18" s="396">
        <f>IF(ISNUMBER((Tasas!E18-Datos!BG18)/Datos!BG18),(Tasas!E18-Datos!BG18)/Datos!BG18," - ")</f>
        <v>0.10186272864574598</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-0.16365899191039204</v>
      </c>
      <c r="E23" s="399">
        <f>IF(ISNUMBER(
   IF(D_I="SI",(Datos!J23-Datos!T23)/Datos!T23,(Datos!J23+Datos!AD23-(Datos!T23+Datos!AL23))/(Datos!T23+Datos!AL23))
     ),IF(D_I="SI",(Datos!J23-Datos!T23)/Datos!T23,(Datos!J23+Datos!AD23-(Datos!T23+Datos!AL23))/(Datos!T23+Datos!AL23))," - ")</f>
        <v>0.18009669621273167</v>
      </c>
      <c r="F23" s="399">
        <f>IF(ISNUMBER(
   IF(D_I="SI",(Datos!K23-Datos!U23)/Datos!U23,(Datos!K23+Datos!AE23-(Datos!U23+Datos!AM23))/(Datos!U23+Datos!AM23))
     ),IF(D_I="SI",(Datos!K23-Datos!U23)/Datos!U23,(Datos!K23+Datos!AE23-(Datos!U23+Datos!AM23))/(Datos!U23+Datos!AM23))," - ")</f>
        <v>0.14285714285714285</v>
      </c>
      <c r="G23" s="400">
        <f>IF(ISNUMBER(
   IF(D_I="SI",(Datos!L23-Datos!V23)/Datos!V23,(Datos!L23+Datos!AF23-(Datos!V23+Datos!AN23))/(Datos!V23+Datos!AN23))
     ),IF(D_I="SI",(Datos!L23-Datos!V23)/Datos!V23,(Datos!L23+Datos!AF23-(Datos!V23+Datos!AN23))/(Datos!V23+Datos!AN23))," - ")</f>
        <v>-0.15187376725838264</v>
      </c>
      <c r="H23" s="401">
        <f>IF(ISNUMBER((Datos!M23-Datos!W23)/Datos!W23),(Datos!M23-Datos!W23)/Datos!W23," - ")</f>
        <v>1.7543859649122806E-2</v>
      </c>
      <c r="I23" s="402">
        <f>IF(ISNUMBER((Tasas!C23-Datos!BE23)/Datos!BE23),(Tasas!C23-Datos!BE23)/Datos!BE23," - ")</f>
        <v>-0.2578895463510848</v>
      </c>
      <c r="J23" s="400">
        <f>IF(ISNUMBER((Tasas!D23-Datos!BF23)/Datos!BF23),(Tasas!D23-Datos!BF23)/Datos!BF23," - ")</f>
        <v>-0.1096491228070174</v>
      </c>
      <c r="K23" s="403">
        <f>IF(ISNUMBER((Tasas!E23-Datos!BG23)/Datos!BG23),(Tasas!E23-Datos!BG23)/Datos!BG23," - ")</f>
        <v>-8.5626069943751507E-2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-0.11751836224410064</v>
      </c>
      <c r="E31" s="409">
        <f>IF(ISNUMBER(
   IF(J_V="SI",(Datos!J31-Datos!T31)/Datos!T31,(Datos!J31+Datos!Z31-(Datos!T31+Datos!AH31))/(Datos!T31+Datos!AH31))
     ),IF(J_V="SI",(Datos!J31-Datos!T31)/Datos!T31,(Datos!J31+Datos!Z31-(Datos!T31+Datos!AH31))/(Datos!T31+Datos!AH31))," - ")</f>
        <v>1.9928557999623991E-2</v>
      </c>
      <c r="F31" s="409">
        <f>IF(ISNUMBER(
   IF(J_V="SI",(Datos!K31-Datos!U31)/Datos!U31,(Datos!K31+Datos!AA31-(Datos!U31+Datos!AI31))/(Datos!U31+Datos!AI31))
     ),IF(J_V="SI",(Datos!K31-Datos!U31)/Datos!U31,(Datos!K31+Datos!AA31-(Datos!U31+Datos!AI31))/(Datos!U31+Datos!AI31))," - ")</f>
        <v>1.6706443914081145E-2</v>
      </c>
      <c r="G31" s="410">
        <f>IF(ISNUMBER(
   IF(J_V="SI",(Datos!L31-Datos!V31)/Datos!V31,(Datos!L31+Datos!AB31-(Datos!V31+Datos!AJ31))/(Datos!V31+Datos!AJ31))
     ),IF(J_V="SI",(Datos!L31-Datos!V31)/Datos!V31,(Datos!L31+Datos!AB31-(Datos!V31+Datos!AJ31))/(Datos!V31+Datos!AJ31))," - ")</f>
        <v>-0.15250236071765816</v>
      </c>
      <c r="H31" s="411">
        <f>IF(ISNUMBER((Datos!M31-Datos!W31)/Datos!W31),(Datos!M31-Datos!W31)/Datos!W31," - ")</f>
        <v>-3.7105751391465678E-3</v>
      </c>
      <c r="I31" s="408">
        <f>IF(ISNUMBER((Tasas!C31-Datos!BE31)/Datos!BE31),(Tasas!C31-Datos!BE31)/Datos!BE31," - ")</f>
        <v>-0.16642837826455112</v>
      </c>
      <c r="J31" s="409">
        <f>IF(ISNUMBER((Tasas!D31-Datos!BF31)/Datos!BF31),(Tasas!D31-Datos!BF31)/Datos!BF31," - ")</f>
        <v>-0.33520949485459017</v>
      </c>
      <c r="K31" s="410">
        <f>IF(ISNUMBER((Tasas!E31-Datos!BG31)/Datos!BG31),(Tasas!E31-Datos!BG31)/Datos!BG31," - ")</f>
        <v>-7.0654913150748469E-2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0.37340901523364395</v>
      </c>
      <c r="E33" s="303">
        <f t="shared" si="1"/>
        <v>7.9178850192200848E-2</v>
      </c>
      <c r="F33" s="303">
        <f t="shared" si="1"/>
        <v>0.13207337809579703</v>
      </c>
      <c r="G33" s="304">
        <f t="shared" si="1"/>
        <v>0.31883075145799905</v>
      </c>
      <c r="H33" s="310">
        <f t="shared" si="1"/>
        <v>0.13409255465494532</v>
      </c>
      <c r="I33" s="302">
        <f t="shared" si="1"/>
        <v>0.2914875974414553</v>
      </c>
      <c r="J33" s="303">
        <f t="shared" si="1"/>
        <v>0.41861379085915096</v>
      </c>
      <c r="K33" s="304">
        <f t="shared" si="1"/>
        <v>0.12827803963968357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l/pRwvrv/wuoeNxJJh+TCRTjfA48+/xLqJPv0knZEsQmtRY2xHW6HD4oBCH7aJfuZJNTRd2Ol9Vq/THBd1ZNg==" saltValue="O/pioGip+XYRJjKHbgYp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